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hen.Kratky\Desktop\"/>
    </mc:Choice>
  </mc:AlternateContent>
  <bookViews>
    <workbookView xWindow="0" yWindow="0" windowWidth="25200" windowHeight="11250" tabRatio="781"/>
  </bookViews>
  <sheets>
    <sheet name="Inhalt" sheetId="15" r:id="rId1"/>
    <sheet name="Personalhauptkosten" sheetId="12" r:id="rId2"/>
    <sheet name="Kostenvergleichsrechnung" sheetId="1" r:id="rId3"/>
    <sheet name="Rentabilitätsberechnung" sheetId="2" r:id="rId4"/>
    <sheet name="Barwertmethode" sheetId="3" r:id="rId5"/>
    <sheet name="refinanzierte Beschäftigung" sheetId="14" r:id="rId6"/>
    <sheet name="AbAufzinsfaktorGenerator" sheetId="13" r:id="rId7"/>
    <sheet name="Abzinstabelle" sheetId="6" r:id="rId8"/>
    <sheet name="Aufzinstabelle" sheetId="7" r:id="rId9"/>
  </sheets>
  <externalReferences>
    <externalReference r:id="rId10"/>
  </externalReferences>
  <definedNames>
    <definedName name="_xlnm.Print_Area" localSheetId="2">Kostenvergleichsrechnung!$1:$1048576</definedName>
    <definedName name="_xlnm.Print_Area" localSheetId="1">Personalhauptkosten!$A$1:$G$106</definedName>
    <definedName name="Z_1CC00BDA_F26F_4B2F_9920_976F9DA01936_.wvu.PrintArea" localSheetId="2" hidden="1">Kostenvergleichsrechnung!$1:$1048576</definedName>
    <definedName name="Z_1CC00BDA_F26F_4B2F_9920_976F9DA01936_.wvu.Rows" localSheetId="7" hidden="1">Abzinstabelle!$28:$31,Abzinstabelle!$33:$36,Abzinstabelle!$39:$41,Abzinstabelle!$43:$46,Abzinstabelle!$49:$51</definedName>
    <definedName name="Z_1CC00BDA_F26F_4B2F_9920_976F9DA01936_.wvu.Rows" localSheetId="8" hidden="1">Aufzinstabelle!$28:$31,Aufzinstabelle!$33:$36,Aufzinstabelle!$39:$41,Aufzinstabelle!$43:$46,Aufzinstabelle!$49:$51</definedName>
  </definedNames>
  <calcPr calcId="162913"/>
  <customWorkbookViews>
    <customWorkbookView name="mwarnke - Persönliche Ansicht" guid="{1CC00BDA-F26F-4B2F-9920-976F9DA01936}" mergeInterval="0" personalView="1" maximized="1" windowWidth="1276" windowHeight="809" tabRatio="855" activeSheetId="1"/>
  </customWorkbookViews>
</workbook>
</file>

<file path=xl/calcChain.xml><?xml version="1.0" encoding="utf-8"?>
<calcChain xmlns="http://schemas.openxmlformats.org/spreadsheetml/2006/main">
  <c r="B62" i="12" l="1"/>
  <c r="F60" i="12"/>
  <c r="D60" i="12"/>
  <c r="B60" i="12"/>
  <c r="D57" i="12"/>
  <c r="B57" i="12"/>
  <c r="D56" i="12"/>
  <c r="B56" i="12"/>
  <c r="D55" i="12"/>
  <c r="B55" i="12"/>
  <c r="F54" i="12"/>
  <c r="D54" i="12"/>
  <c r="B54" i="12"/>
  <c r="F53" i="12"/>
  <c r="D53" i="12"/>
  <c r="B53" i="12"/>
  <c r="D48" i="12"/>
  <c r="B48" i="12"/>
  <c r="D47" i="12"/>
  <c r="B47" i="12"/>
  <c r="F46" i="12"/>
  <c r="D46" i="12"/>
  <c r="B46" i="12"/>
  <c r="F45" i="12"/>
  <c r="D45" i="12"/>
  <c r="B45" i="12"/>
  <c r="F44" i="12"/>
  <c r="D44" i="12"/>
  <c r="B44" i="12"/>
  <c r="F43" i="12"/>
  <c r="D43" i="12"/>
  <c r="B43" i="12"/>
  <c r="F42" i="12"/>
  <c r="D42" i="12"/>
  <c r="B42" i="12"/>
  <c r="F38" i="12"/>
  <c r="D38" i="12"/>
  <c r="B38" i="12"/>
  <c r="F37" i="12"/>
  <c r="D37" i="12"/>
  <c r="B37" i="12"/>
  <c r="F36" i="12"/>
  <c r="D36" i="12"/>
  <c r="B36" i="12"/>
  <c r="D32" i="12"/>
  <c r="B32" i="12"/>
  <c r="D31" i="12"/>
  <c r="B31" i="12"/>
  <c r="F30" i="12"/>
  <c r="D30" i="12"/>
  <c r="B30" i="12"/>
  <c r="F29" i="12"/>
  <c r="D29" i="12"/>
  <c r="B29" i="12"/>
  <c r="F28" i="12"/>
  <c r="D28" i="12"/>
  <c r="B28" i="12"/>
  <c r="F27" i="12"/>
  <c r="D27" i="12"/>
  <c r="B27" i="12"/>
  <c r="F26" i="12"/>
  <c r="D26" i="12"/>
  <c r="B26" i="12"/>
  <c r="B23" i="12"/>
  <c r="F22" i="12"/>
  <c r="D22" i="12"/>
  <c r="B22" i="12"/>
  <c r="F20" i="12"/>
  <c r="D20" i="12"/>
  <c r="B20" i="12"/>
  <c r="D18" i="12"/>
  <c r="B18" i="12"/>
  <c r="F17" i="12"/>
  <c r="D17" i="12"/>
  <c r="B17" i="12"/>
  <c r="F16" i="12"/>
  <c r="D16" i="12"/>
  <c r="B16" i="12"/>
  <c r="F15" i="12"/>
  <c r="D15" i="12"/>
  <c r="B15" i="12"/>
  <c r="F14" i="12"/>
  <c r="D14" i="12"/>
  <c r="B14" i="12"/>
  <c r="F13" i="12"/>
  <c r="D13" i="12"/>
  <c r="B13" i="12"/>
  <c r="F12" i="12"/>
  <c r="D12" i="12"/>
  <c r="B12" i="12"/>
  <c r="D9" i="12"/>
  <c r="B9" i="12"/>
  <c r="F8" i="12"/>
  <c r="D8" i="12"/>
  <c r="B8" i="12"/>
  <c r="F7" i="12"/>
  <c r="D7" i="12"/>
  <c r="B7" i="12"/>
  <c r="F6" i="12"/>
  <c r="D6" i="12"/>
  <c r="B6" i="12"/>
  <c r="D8" i="1" l="1"/>
  <c r="K13" i="3" l="1"/>
  <c r="K18" i="3"/>
  <c r="K19" i="3"/>
  <c r="K23" i="3"/>
  <c r="K24" i="3"/>
  <c r="K28" i="3"/>
  <c r="K29" i="3"/>
  <c r="K47" i="3"/>
  <c r="K51" i="3"/>
  <c r="K70" i="3"/>
  <c r="K20" i="3" l="1"/>
  <c r="K25" i="3"/>
  <c r="K30" i="3"/>
  <c r="E61" i="3"/>
  <c r="F61" i="3" s="1"/>
  <c r="G61" i="3" s="1"/>
  <c r="H61" i="3" s="1"/>
  <c r="I61" i="3" s="1"/>
  <c r="J61" i="3" s="1"/>
  <c r="K61" i="3" s="1"/>
  <c r="K71" i="3" s="1"/>
  <c r="K72" i="3" s="1"/>
  <c r="K32" i="3" l="1"/>
  <c r="K34" i="3" s="1"/>
  <c r="K37" i="3" s="1"/>
  <c r="K55" i="3" s="1"/>
  <c r="K57" i="3" s="1"/>
  <c r="K60" i="3" s="1"/>
  <c r="K62" i="3" s="1"/>
  <c r="H29" i="14"/>
  <c r="G29" i="14"/>
  <c r="F29" i="14"/>
  <c r="E29" i="14"/>
  <c r="H27" i="14"/>
  <c r="H30" i="14" s="1"/>
  <c r="G27" i="14"/>
  <c r="G30" i="14" s="1"/>
  <c r="F27" i="14"/>
  <c r="F30" i="14" s="1"/>
  <c r="E27" i="14"/>
  <c r="E30" i="14" s="1"/>
  <c r="H20" i="14"/>
  <c r="G20" i="14"/>
  <c r="F20" i="14"/>
  <c r="H19" i="14"/>
  <c r="G19" i="14"/>
  <c r="F19" i="14"/>
  <c r="H15" i="14"/>
  <c r="G15" i="14"/>
  <c r="F15" i="14"/>
  <c r="H14" i="14"/>
  <c r="G14" i="14"/>
  <c r="F14" i="14"/>
  <c r="E20" i="14"/>
  <c r="E19" i="14"/>
  <c r="E15" i="14"/>
  <c r="E14" i="14"/>
  <c r="H10" i="14"/>
  <c r="G10" i="14"/>
  <c r="F10" i="14"/>
  <c r="H9" i="14"/>
  <c r="G9" i="14"/>
  <c r="F9" i="14"/>
  <c r="E10" i="14"/>
  <c r="E9" i="14"/>
  <c r="E42" i="14"/>
  <c r="F42" i="14" s="1"/>
  <c r="G42" i="14" s="1"/>
  <c r="H42" i="14" s="1"/>
  <c r="E35" i="14"/>
  <c r="D35" i="14" s="1"/>
  <c r="C35" i="14" s="1"/>
  <c r="F4" i="14"/>
  <c r="G4" i="14" s="1"/>
  <c r="H4" i="14" s="1"/>
  <c r="H45" i="14"/>
  <c r="G45" i="14"/>
  <c r="F45" i="14"/>
  <c r="E45" i="14"/>
  <c r="D45" i="14"/>
  <c r="C45" i="14"/>
  <c r="H39" i="14"/>
  <c r="G39" i="14"/>
  <c r="F39" i="14"/>
  <c r="E39" i="14"/>
  <c r="D39" i="14"/>
  <c r="C39" i="14"/>
  <c r="K56" i="3" l="1"/>
  <c r="E21" i="14"/>
  <c r="F16" i="14"/>
  <c r="G16" i="14"/>
  <c r="H21" i="14"/>
  <c r="G21" i="14"/>
  <c r="F11" i="14"/>
  <c r="E16" i="14"/>
  <c r="H16" i="14"/>
  <c r="F21" i="14"/>
  <c r="E11" i="14"/>
  <c r="H11" i="14"/>
  <c r="G11" i="14"/>
  <c r="F35" i="14"/>
  <c r="G35" i="14" s="1"/>
  <c r="H35" i="14" s="1"/>
  <c r="D42" i="14"/>
  <c r="C42" i="14" s="1"/>
  <c r="F69" i="1"/>
  <c r="E69" i="1"/>
  <c r="D69" i="1"/>
  <c r="F68" i="1"/>
  <c r="E68" i="1"/>
  <c r="D68" i="1"/>
  <c r="F8" i="1"/>
  <c r="F9" i="1"/>
  <c r="F13" i="1"/>
  <c r="F14" i="1"/>
  <c r="F18" i="1"/>
  <c r="F19" i="1"/>
  <c r="E8" i="1"/>
  <c r="E9" i="1"/>
  <c r="E13" i="1"/>
  <c r="E14" i="1"/>
  <c r="E18" i="1"/>
  <c r="E19" i="1"/>
  <c r="D9" i="1"/>
  <c r="D13" i="1"/>
  <c r="D14" i="1"/>
  <c r="D18" i="1"/>
  <c r="D19" i="1"/>
  <c r="F65" i="2"/>
  <c r="E65" i="2"/>
  <c r="D65" i="2"/>
  <c r="F64" i="2"/>
  <c r="E64" i="2"/>
  <c r="D64" i="2"/>
  <c r="F43" i="2"/>
  <c r="E43" i="2"/>
  <c r="D8" i="2"/>
  <c r="D9" i="2"/>
  <c r="D13" i="2"/>
  <c r="D14" i="2"/>
  <c r="D18" i="2"/>
  <c r="D19" i="2"/>
  <c r="J18" i="3"/>
  <c r="J19" i="3"/>
  <c r="J23" i="3"/>
  <c r="J24" i="3"/>
  <c r="J28" i="3"/>
  <c r="J29" i="3"/>
  <c r="I18" i="3"/>
  <c r="I19" i="3"/>
  <c r="I23" i="3"/>
  <c r="I24" i="3"/>
  <c r="I28" i="3"/>
  <c r="I29" i="3"/>
  <c r="H18" i="3"/>
  <c r="H19" i="3"/>
  <c r="H23" i="3"/>
  <c r="H24" i="3"/>
  <c r="H28" i="3"/>
  <c r="H29" i="3"/>
  <c r="G18" i="3"/>
  <c r="G19" i="3"/>
  <c r="G23" i="3"/>
  <c r="G24" i="3"/>
  <c r="G28" i="3"/>
  <c r="G29" i="3"/>
  <c r="F18" i="3"/>
  <c r="F19" i="3"/>
  <c r="F23" i="3"/>
  <c r="F24" i="3"/>
  <c r="F28" i="3"/>
  <c r="F29" i="3"/>
  <c r="E18" i="3"/>
  <c r="E19" i="3"/>
  <c r="E23" i="3"/>
  <c r="E24" i="3"/>
  <c r="E28" i="3"/>
  <c r="E29" i="3"/>
  <c r="D18" i="3"/>
  <c r="D19" i="3"/>
  <c r="D23" i="3"/>
  <c r="D24" i="3"/>
  <c r="D28" i="3"/>
  <c r="D29" i="3"/>
  <c r="D2" i="3"/>
  <c r="D1" i="3"/>
  <c r="F2" i="2"/>
  <c r="F1" i="2"/>
  <c r="F2" i="1"/>
  <c r="F1" i="1"/>
  <c r="F70" i="3"/>
  <c r="F13" i="3"/>
  <c r="F47" i="3"/>
  <c r="F51" i="3"/>
  <c r="E70" i="3"/>
  <c r="E13" i="3"/>
  <c r="E47" i="3"/>
  <c r="E51" i="3"/>
  <c r="D70" i="3"/>
  <c r="D71" i="3"/>
  <c r="D13" i="3"/>
  <c r="D47" i="3"/>
  <c r="D51" i="3"/>
  <c r="G70" i="3"/>
  <c r="G13" i="3"/>
  <c r="G47" i="3"/>
  <c r="G51" i="3"/>
  <c r="H70" i="3"/>
  <c r="H13" i="3"/>
  <c r="H47" i="3"/>
  <c r="H51" i="3"/>
  <c r="I70" i="3"/>
  <c r="I13" i="3"/>
  <c r="I47" i="3"/>
  <c r="I51" i="3"/>
  <c r="J70" i="3"/>
  <c r="J13" i="3"/>
  <c r="J47" i="3"/>
  <c r="J51" i="3"/>
  <c r="C9" i="13"/>
  <c r="C10" i="13" s="1"/>
  <c r="F19" i="2"/>
  <c r="E19" i="2"/>
  <c r="F18" i="2"/>
  <c r="E18" i="2"/>
  <c r="F13" i="2"/>
  <c r="F14" i="2"/>
  <c r="E13" i="2"/>
  <c r="E14" i="2"/>
  <c r="F9" i="2"/>
  <c r="E9" i="2"/>
  <c r="F8" i="2"/>
  <c r="E8" i="2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F3" i="6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P3" i="6"/>
  <c r="P4" i="6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O3" i="6"/>
  <c r="O4" i="6" s="1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N3" i="6"/>
  <c r="N4" i="6" s="1"/>
  <c r="N5" i="6" s="1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M3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L3" i="6"/>
  <c r="L4" i="6" s="1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J3" i="6"/>
  <c r="J4" i="6" s="1"/>
  <c r="J5" i="6" s="1"/>
  <c r="J6" i="6" s="1"/>
  <c r="J7" i="6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I3" i="6"/>
  <c r="I4" i="6" s="1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H3" i="6"/>
  <c r="H4" i="6" s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E3" i="6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D3" i="6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C3" i="6"/>
  <c r="C4" i="6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F3" i="7"/>
  <c r="F4" i="7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P3" i="7"/>
  <c r="P4" i="7" s="1"/>
  <c r="P5" i="7" s="1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O3" i="7"/>
  <c r="O4" i="7" s="1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N3" i="7"/>
  <c r="N4" i="7" s="1"/>
  <c r="N5" i="7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M3" i="7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L3" i="7"/>
  <c r="L4" i="7" s="1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J3" i="7"/>
  <c r="J4" i="7" s="1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I3" i="7"/>
  <c r="I4" i="7" s="1"/>
  <c r="I5" i="7" s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H3" i="7"/>
  <c r="H4" i="7" s="1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D3" i="7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C3" i="7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D10" i="3"/>
  <c r="E10" i="3" s="1"/>
  <c r="F29" i="1"/>
  <c r="F36" i="1"/>
  <c r="F43" i="1"/>
  <c r="F50" i="1"/>
  <c r="F57" i="1"/>
  <c r="F73" i="1"/>
  <c r="E29" i="1"/>
  <c r="E36" i="1"/>
  <c r="E43" i="1"/>
  <c r="E50" i="1"/>
  <c r="E57" i="1"/>
  <c r="E73" i="1"/>
  <c r="D29" i="1"/>
  <c r="D36" i="1"/>
  <c r="D43" i="1"/>
  <c r="D50" i="1"/>
  <c r="D57" i="1"/>
  <c r="D73" i="1"/>
  <c r="E29" i="2"/>
  <c r="E36" i="2"/>
  <c r="E53" i="2"/>
  <c r="E71" i="2"/>
  <c r="F29" i="2"/>
  <c r="F36" i="2"/>
  <c r="F53" i="2"/>
  <c r="F71" i="2"/>
  <c r="D29" i="2"/>
  <c r="D36" i="2"/>
  <c r="D43" i="2"/>
  <c r="D53" i="2"/>
  <c r="D71" i="2"/>
  <c r="G22" i="14" l="1"/>
  <c r="G32" i="14" s="1"/>
  <c r="G48" i="14" s="1"/>
  <c r="D36" i="3"/>
  <c r="D59" i="3"/>
  <c r="E36" i="3"/>
  <c r="F10" i="3"/>
  <c r="F59" i="3" s="1"/>
  <c r="E59" i="3"/>
  <c r="D72" i="3"/>
  <c r="E71" i="3"/>
  <c r="E72" i="3" s="1"/>
  <c r="F22" i="14"/>
  <c r="F32" i="14" s="1"/>
  <c r="F48" i="14" s="1"/>
  <c r="D15" i="2"/>
  <c r="F20" i="1"/>
  <c r="H22" i="14"/>
  <c r="H32" i="14" s="1"/>
  <c r="H48" i="14" s="1"/>
  <c r="F15" i="1"/>
  <c r="E22" i="14"/>
  <c r="E32" i="14" s="1"/>
  <c r="E48" i="14" s="1"/>
  <c r="E10" i="1"/>
  <c r="G20" i="3"/>
  <c r="F10" i="1"/>
  <c r="E10" i="2"/>
  <c r="E20" i="2"/>
  <c r="I25" i="3"/>
  <c r="J30" i="3"/>
  <c r="J20" i="3"/>
  <c r="F20" i="2"/>
  <c r="D25" i="3"/>
  <c r="E30" i="3"/>
  <c r="E20" i="3"/>
  <c r="F25" i="3"/>
  <c r="I30" i="3"/>
  <c r="F20" i="3"/>
  <c r="F10" i="2"/>
  <c r="D20" i="2"/>
  <c r="F15" i="2"/>
  <c r="D30" i="3"/>
  <c r="H25" i="3"/>
  <c r="G25" i="3"/>
  <c r="H30" i="3"/>
  <c r="D20" i="1"/>
  <c r="E15" i="1"/>
  <c r="G30" i="3"/>
  <c r="E25" i="3"/>
  <c r="F30" i="3"/>
  <c r="I20" i="3"/>
  <c r="J25" i="3"/>
  <c r="D15" i="1"/>
  <c r="E20" i="1"/>
  <c r="E15" i="2"/>
  <c r="D10" i="1"/>
  <c r="F36" i="3"/>
  <c r="F71" i="3"/>
  <c r="F72" i="3" s="1"/>
  <c r="D20" i="3"/>
  <c r="H20" i="3"/>
  <c r="D10" i="2"/>
  <c r="I32" i="3" l="1"/>
  <c r="I34" i="3" s="1"/>
  <c r="I37" i="3" s="1"/>
  <c r="I55" i="3" s="1"/>
  <c r="I57" i="3" s="1"/>
  <c r="I60" i="3" s="1"/>
  <c r="F22" i="1"/>
  <c r="F44" i="1" s="1"/>
  <c r="F46" i="1" s="1"/>
  <c r="F58" i="1" s="1"/>
  <c r="F74" i="1" s="1"/>
  <c r="G10" i="3"/>
  <c r="G59" i="3" s="1"/>
  <c r="D32" i="3"/>
  <c r="D56" i="3" s="1"/>
  <c r="E32" i="3"/>
  <c r="E34" i="3" s="1"/>
  <c r="E37" i="3" s="1"/>
  <c r="E55" i="3" s="1"/>
  <c r="E57" i="3" s="1"/>
  <c r="E60" i="3" s="1"/>
  <c r="E62" i="3" s="1"/>
  <c r="E22" i="2"/>
  <c r="E44" i="2" s="1"/>
  <c r="E46" i="2" s="1"/>
  <c r="E54" i="2" s="1"/>
  <c r="E72" i="2" s="1"/>
  <c r="E74" i="2" s="1"/>
  <c r="F22" i="2"/>
  <c r="F44" i="2" s="1"/>
  <c r="F46" i="2" s="1"/>
  <c r="F54" i="2" s="1"/>
  <c r="F72" i="2" s="1"/>
  <c r="F74" i="2" s="1"/>
  <c r="F32" i="3"/>
  <c r="F34" i="3" s="1"/>
  <c r="F37" i="3" s="1"/>
  <c r="F55" i="3" s="1"/>
  <c r="F57" i="3" s="1"/>
  <c r="F60" i="3" s="1"/>
  <c r="F62" i="3" s="1"/>
  <c r="D22" i="2"/>
  <c r="D44" i="2" s="1"/>
  <c r="D46" i="2" s="1"/>
  <c r="D54" i="2" s="1"/>
  <c r="D72" i="2" s="1"/>
  <c r="D74" i="2" s="1"/>
  <c r="E22" i="1"/>
  <c r="E44" i="1" s="1"/>
  <c r="E46" i="1" s="1"/>
  <c r="E58" i="1" s="1"/>
  <c r="E74" i="1" s="1"/>
  <c r="D22" i="1"/>
  <c r="D44" i="1" s="1"/>
  <c r="D46" i="1" s="1"/>
  <c r="D58" i="1" s="1"/>
  <c r="D74" i="1" s="1"/>
  <c r="J32" i="3"/>
  <c r="J56" i="3" s="1"/>
  <c r="G32" i="3"/>
  <c r="G56" i="3" s="1"/>
  <c r="H32" i="3"/>
  <c r="H56" i="3" s="1"/>
  <c r="H10" i="3"/>
  <c r="G36" i="3"/>
  <c r="I56" i="3"/>
  <c r="G71" i="3"/>
  <c r="G72" i="3" s="1"/>
  <c r="D34" i="3" l="1"/>
  <c r="D37" i="3" s="1"/>
  <c r="D55" i="3" s="1"/>
  <c r="D57" i="3" s="1"/>
  <c r="D60" i="3" s="1"/>
  <c r="D62" i="3" s="1"/>
  <c r="D77" i="3" s="1"/>
  <c r="E77" i="3" s="1"/>
  <c r="F77" i="3" s="1"/>
  <c r="J34" i="3"/>
  <c r="J37" i="3" s="1"/>
  <c r="J55" i="3" s="1"/>
  <c r="J57" i="3" s="1"/>
  <c r="J60" i="3" s="1"/>
  <c r="E56" i="3"/>
  <c r="F56" i="3"/>
  <c r="G34" i="3"/>
  <c r="G37" i="3" s="1"/>
  <c r="G55" i="3" s="1"/>
  <c r="G57" i="3" s="1"/>
  <c r="G60" i="3" s="1"/>
  <c r="G62" i="3" s="1"/>
  <c r="H34" i="3"/>
  <c r="H37" i="3" s="1"/>
  <c r="H55" i="3" s="1"/>
  <c r="H57" i="3" s="1"/>
  <c r="H60" i="3" s="1"/>
  <c r="H62" i="3" s="1"/>
  <c r="H71" i="3"/>
  <c r="H72" i="3" s="1"/>
  <c r="H59" i="3"/>
  <c r="I10" i="3"/>
  <c r="H36" i="3"/>
  <c r="G77" i="3" l="1"/>
  <c r="H77" i="3" s="1"/>
  <c r="I71" i="3"/>
  <c r="I72" i="3" s="1"/>
  <c r="I62" i="3"/>
  <c r="I36" i="3"/>
  <c r="I59" i="3"/>
  <c r="J10" i="3"/>
  <c r="K10" i="3" s="1"/>
  <c r="K36" i="3" l="1"/>
  <c r="K59" i="3"/>
  <c r="J59" i="3"/>
  <c r="J36" i="3"/>
  <c r="I77" i="3"/>
  <c r="J71" i="3"/>
  <c r="J72" i="3" s="1"/>
  <c r="J62" i="3"/>
  <c r="J77" i="3" l="1"/>
  <c r="K77" i="3" s="1"/>
  <c r="G74" i="3"/>
  <c r="G75" i="3"/>
  <c r="G76" i="3" l="1"/>
</calcChain>
</file>

<file path=xl/sharedStrings.xml><?xml version="1.0" encoding="utf-8"?>
<sst xmlns="http://schemas.openxmlformats.org/spreadsheetml/2006/main" count="711" uniqueCount="405">
  <si>
    <t>Maßnahme:</t>
  </si>
  <si>
    <t xml:space="preserve"> </t>
  </si>
  <si>
    <t>Bearbeiter:</t>
  </si>
  <si>
    <t>Alternative 1</t>
  </si>
  <si>
    <t>Alternative 2</t>
  </si>
  <si>
    <t>Alternative 3</t>
  </si>
  <si>
    <t>1.</t>
  </si>
  <si>
    <t>Personalkosten</t>
  </si>
  <si>
    <t>1.1.</t>
  </si>
  <si>
    <t>1.1.1.</t>
  </si>
  <si>
    <t>Dienstbezüge</t>
  </si>
  <si>
    <t>1.1.2.</t>
  </si>
  <si>
    <t>Versorgungsumlage</t>
  </si>
  <si>
    <t>1.1.3.</t>
  </si>
  <si>
    <t>Dienstunfallfürsorge</t>
  </si>
  <si>
    <t>1.1.4.</t>
  </si>
  <si>
    <t>Summe der Kosten für Beamte</t>
  </si>
  <si>
    <t>1.2.</t>
  </si>
  <si>
    <t>1.2.1.</t>
  </si>
  <si>
    <t>Gehälter</t>
  </si>
  <si>
    <t>1.2.2.</t>
  </si>
  <si>
    <t>gesetzliche Unfallversicherung</t>
  </si>
  <si>
    <t>1.2.3.</t>
  </si>
  <si>
    <t>1.3.</t>
  </si>
  <si>
    <t>1.3.1.</t>
  </si>
  <si>
    <t>Löhne</t>
  </si>
  <si>
    <t>1.3.2.</t>
  </si>
  <si>
    <t>Zuschlag für Zusatzversorgung</t>
  </si>
  <si>
    <t>1.3.3.</t>
  </si>
  <si>
    <t>1.4.</t>
  </si>
  <si>
    <t>1.5.</t>
  </si>
  <si>
    <t>Summe der Personalkosten</t>
  </si>
  <si>
    <t>2.</t>
  </si>
  <si>
    <t>Sachkosten</t>
  </si>
  <si>
    <t>2.1.</t>
  </si>
  <si>
    <t>2.1.1.</t>
  </si>
  <si>
    <t>2.1.2.</t>
  </si>
  <si>
    <t>2.1.3.</t>
  </si>
  <si>
    <t>2.1.4.</t>
  </si>
  <si>
    <t>Summe der Arbeitsplatzkosten</t>
  </si>
  <si>
    <t>2.2.</t>
  </si>
  <si>
    <t>sonstige Sachkosten *</t>
  </si>
  <si>
    <t>2.2.1.</t>
  </si>
  <si>
    <t>Betriebsstoffe</t>
  </si>
  <si>
    <t>2.2.2.</t>
  </si>
  <si>
    <t>Steuern/ Abgaben/ Versicherungen</t>
  </si>
  <si>
    <t>2.2.3.</t>
  </si>
  <si>
    <t>Wasser/ Energie</t>
  </si>
  <si>
    <t>2.2.4.</t>
  </si>
  <si>
    <t>Fremdleistungen</t>
  </si>
  <si>
    <t>2.2.5.</t>
  </si>
  <si>
    <t>übrige Sachkosten</t>
  </si>
  <si>
    <t>2.2.6.</t>
  </si>
  <si>
    <t>Summe der sonst. Sachkosten</t>
  </si>
  <si>
    <t>2.3.</t>
  </si>
  <si>
    <t>2.3.1.</t>
  </si>
  <si>
    <t>für Kraftfahrzeuge (25 %)</t>
  </si>
  <si>
    <t>2.3.2.</t>
  </si>
  <si>
    <t>2.3.3.</t>
  </si>
  <si>
    <t>für sonstige Maschinen (12,5 %)</t>
  </si>
  <si>
    <t>2.3.4.</t>
  </si>
  <si>
    <t>2.3.5.</t>
  </si>
  <si>
    <t>2.3.6.</t>
  </si>
  <si>
    <t>Summe der Abschreibungen</t>
  </si>
  <si>
    <t>Übertrag:</t>
  </si>
  <si>
    <t>2.4.</t>
  </si>
  <si>
    <t>2.4.1.</t>
  </si>
  <si>
    <t>2.4.2.</t>
  </si>
  <si>
    <t>2.4.3.</t>
  </si>
  <si>
    <t>2.5.</t>
  </si>
  <si>
    <t>2.6.</t>
  </si>
  <si>
    <t>Gemeinkosten</t>
  </si>
  <si>
    <t>2.6.1.</t>
  </si>
  <si>
    <t xml:space="preserve">Büroarbeitsplätze (20 % auf Büro- </t>
  </si>
  <si>
    <t>2.6.2.</t>
  </si>
  <si>
    <t>Nicht- Büroarbeitsplätze (15 % auf Nicht-</t>
  </si>
  <si>
    <t>2.6.3.</t>
  </si>
  <si>
    <t>Summe der Gemeinkostenzuschläge</t>
  </si>
  <si>
    <t>3.</t>
  </si>
  <si>
    <t>Summe der Kosten</t>
  </si>
  <si>
    <t xml:space="preserve">4. </t>
  </si>
  <si>
    <t>Erträge</t>
  </si>
  <si>
    <t>4.1.</t>
  </si>
  <si>
    <t>Abfall- und Nebenprodukte</t>
  </si>
  <si>
    <t>4.2.</t>
  </si>
  <si>
    <t>Wiederverkäufe</t>
  </si>
  <si>
    <t>4.3.</t>
  </si>
  <si>
    <t>Summe der Erträge</t>
  </si>
  <si>
    <t>5.</t>
  </si>
  <si>
    <t>Nettogesamtkosten (3. - 4.)</t>
  </si>
  <si>
    <t>*</t>
  </si>
  <si>
    <t>zusätzlich bei unterschiedlichen Leistungsmengen:</t>
  </si>
  <si>
    <t>6.</t>
  </si>
  <si>
    <t>1.3.4.</t>
  </si>
  <si>
    <t>2.5.1.</t>
  </si>
  <si>
    <t>Büroarbeitsplätze (20 % auf Büro-</t>
  </si>
  <si>
    <t>2.5.2.</t>
  </si>
  <si>
    <t>2.5.3.</t>
  </si>
  <si>
    <t>Gebühren und Leistungsentgelte</t>
  </si>
  <si>
    <t>4.4.</t>
  </si>
  <si>
    <t>Über- bzw. Unterdeckung (4.4. - 3.)</t>
  </si>
  <si>
    <t>7.</t>
  </si>
  <si>
    <t xml:space="preserve">. . . . . . </t>
  </si>
  <si>
    <t>Summe der Investitionsausgaben</t>
  </si>
  <si>
    <t>Übertrag</t>
  </si>
  <si>
    <t>Sachausgaben</t>
  </si>
  <si>
    <t>3.1.</t>
  </si>
  <si>
    <t>3.1.1.</t>
  </si>
  <si>
    <t>3.1.2.</t>
  </si>
  <si>
    <t>Versicherungen/Steuern</t>
  </si>
  <si>
    <t>3.1.3.</t>
  </si>
  <si>
    <t>Wasser, Energie, Brennstoffe</t>
  </si>
  <si>
    <t>3.1.4.</t>
  </si>
  <si>
    <t>Miete</t>
  </si>
  <si>
    <t>3.1.5.</t>
  </si>
  <si>
    <t>Bürobedarf</t>
  </si>
  <si>
    <t>3.1.6.</t>
  </si>
  <si>
    <t>3.1.7.</t>
  </si>
  <si>
    <t>3.1.8.</t>
  </si>
  <si>
    <t>3.2.</t>
  </si>
  <si>
    <t>Ausgabeverbundene Gemeinkosten</t>
  </si>
  <si>
    <t>3.2.1.</t>
  </si>
  <si>
    <t>3.2.2.</t>
  </si>
  <si>
    <t>3.2.3.</t>
  </si>
  <si>
    <t>4.</t>
  </si>
  <si>
    <t>Auf-/Abzinsfaktoren</t>
  </si>
  <si>
    <t>Einnahmen</t>
  </si>
  <si>
    <t>7.1.</t>
  </si>
  <si>
    <t>7.2.</t>
  </si>
  <si>
    <t>7.3.</t>
  </si>
  <si>
    <t>Mieteinahmen</t>
  </si>
  <si>
    <t>7.4.</t>
  </si>
  <si>
    <t>7.5.</t>
  </si>
  <si>
    <t xml:space="preserve">. . . . . </t>
  </si>
  <si>
    <t>7.6.</t>
  </si>
  <si>
    <t>7.7.</t>
  </si>
  <si>
    <t>8.</t>
  </si>
  <si>
    <t>9.</t>
  </si>
  <si>
    <t>Barwerte der Einnahmen</t>
  </si>
  <si>
    <t>Summe der Barwerte der Einnahmen</t>
  </si>
  <si>
    <t>Kapitalwert der Maßnahme</t>
  </si>
  <si>
    <t>Beihilfen  lt. Anlage Personal</t>
  </si>
  <si>
    <t>Investitionsausgabe (eingesetztes Kapital)</t>
  </si>
  <si>
    <t>kalkulatorische Zinsen (Kapital : 2 X Zinssatz)</t>
  </si>
  <si>
    <t>Rentabilitätsziffer (Ziffer 5 x 100 : Ziffer 6)</t>
  </si>
  <si>
    <t>Erstes Jahr des Zeitvergleichs:</t>
  </si>
  <si>
    <t>Tabelle einiger Abzinsfaktoren für eine Laufzeit bis 50 Jahre</t>
  </si>
  <si>
    <t>Jahr / %</t>
  </si>
  <si>
    <t>Tabelle einiger Aufzinsfaktoren für eine Laufzeit bis 50 Jahre</t>
  </si>
  <si>
    <t>Summe der Ausgaben zu 1 - 3</t>
  </si>
  <si>
    <t>Barwerte der Ausgaben</t>
  </si>
  <si>
    <t>Summe der Barwerte der Ausgaben</t>
  </si>
  <si>
    <t>Summe der Einnahmen</t>
  </si>
  <si>
    <r>
      <t>Bezugszeitpunkt</t>
    </r>
    <r>
      <rPr>
        <sz val="10"/>
        <rFont val="MS Sans Serif"/>
        <family val="2"/>
      </rPr>
      <t xml:space="preserve"> (T.T./M.M.)</t>
    </r>
  </si>
  <si>
    <t>(frei benutzbar)</t>
  </si>
  <si>
    <t xml:space="preserve">Stückkosten </t>
  </si>
  <si>
    <t>Stückzahlen</t>
  </si>
  <si>
    <t>(Nr. 5 / Stückzahlen)</t>
  </si>
  <si>
    <t>Die Eingabefelder sind gelb unterlegt, Felder mit Formeln oder Verknüpfungen sind geschützt.</t>
  </si>
  <si>
    <t>durchschnittlich gebundenes Kapital (Anschaffungswert : 2)</t>
  </si>
  <si>
    <t>kalkulatorischer Zinssatz (%)</t>
  </si>
  <si>
    <t xml:space="preserve">Kostenvergleichsrechnung </t>
  </si>
  <si>
    <t xml:space="preserve">Rentabilitätsberechnung </t>
  </si>
  <si>
    <t xml:space="preserve">Barwertmethode </t>
  </si>
  <si>
    <t>I. planmäßige Beamte und Richter</t>
  </si>
  <si>
    <t>Besoldungsordnung R</t>
  </si>
  <si>
    <t>Besoldungsordnung B</t>
  </si>
  <si>
    <t>Besoldungsordnung C</t>
  </si>
  <si>
    <t>C 4</t>
  </si>
  <si>
    <t>B 7</t>
  </si>
  <si>
    <t>C 3</t>
  </si>
  <si>
    <t>C 2</t>
  </si>
  <si>
    <t>B 4</t>
  </si>
  <si>
    <t>R 3</t>
  </si>
  <si>
    <t>B 3</t>
  </si>
  <si>
    <t>R 2</t>
  </si>
  <si>
    <t>B 2</t>
  </si>
  <si>
    <t>R 1</t>
  </si>
  <si>
    <t>Besoldungsordnung A</t>
  </si>
  <si>
    <t>A 13 S</t>
  </si>
  <si>
    <t>A 13</t>
  </si>
  <si>
    <t>A 8</t>
  </si>
  <si>
    <t>A 7</t>
  </si>
  <si>
    <t>A 15 S</t>
  </si>
  <si>
    <t>A 12</t>
  </si>
  <si>
    <t>A 11</t>
  </si>
  <si>
    <t>A 6</t>
  </si>
  <si>
    <t>A 14 S</t>
  </si>
  <si>
    <t>A 10</t>
  </si>
  <si>
    <t>A 9 S</t>
  </si>
  <si>
    <t>Besoldungsordnung W</t>
  </si>
  <si>
    <t>W 3</t>
  </si>
  <si>
    <t>W 2</t>
  </si>
  <si>
    <t>W 1</t>
  </si>
  <si>
    <t>II. Anwärter</t>
  </si>
  <si>
    <t>Beamte</t>
  </si>
  <si>
    <t>2. Personalnebenkosten</t>
  </si>
  <si>
    <t xml:space="preserve">I. Beihilfen </t>
  </si>
  <si>
    <t>Beamte *:</t>
  </si>
  <si>
    <t>Beamte **:</t>
  </si>
  <si>
    <t>Beamte ***:</t>
  </si>
  <si>
    <t>II. Versorgungszuschläge</t>
  </si>
  <si>
    <t>Beamte:</t>
  </si>
  <si>
    <t>III. gesetzliche Unfallversicherung</t>
  </si>
  <si>
    <t>Dienstunfallfürsorge (Beamte)</t>
  </si>
  <si>
    <t>*=</t>
  </si>
  <si>
    <t xml:space="preserve">bei bestehender Privatversicherung </t>
  </si>
  <si>
    <t>**=</t>
  </si>
  <si>
    <t xml:space="preserve">bei Versicherung in einer gesetzlichen Krankenkasse mit Anspruch auf </t>
  </si>
  <si>
    <t>Zuschuß zu den Versicherungsbeiträgen</t>
  </si>
  <si>
    <t>***=</t>
  </si>
  <si>
    <t xml:space="preserve">bei Versicherung in einer gesetzlichen Krankenkasse ohne Anspruch auf </t>
  </si>
  <si>
    <t>Besoldungs-/ Entgeltgruppe</t>
  </si>
  <si>
    <t>A 9 - A 11</t>
  </si>
  <si>
    <t>* mit Ruhelohnanwardschaft</t>
  </si>
  <si>
    <t>Arbeitnehmer</t>
  </si>
  <si>
    <t>1.2.4.</t>
  </si>
  <si>
    <t>Summe der Kosten für Arbeitnehmer TVÖD</t>
  </si>
  <si>
    <t>Summe der Kosten für Arbeitnehmer TV-L</t>
  </si>
  <si>
    <t>Sind in den Arbeitsplatzkosten enthalten</t>
  </si>
  <si>
    <t>Sachausgaben*</t>
  </si>
  <si>
    <t>13Ü</t>
  </si>
  <si>
    <t>13V</t>
  </si>
  <si>
    <t>A 16</t>
  </si>
  <si>
    <t>A 15</t>
  </si>
  <si>
    <t>A 14</t>
  </si>
  <si>
    <t xml:space="preserve">A 6 - A 8 </t>
  </si>
  <si>
    <t>III. Entgelte für Beschäftigte des TV-L</t>
  </si>
  <si>
    <t>15Ü</t>
  </si>
  <si>
    <t>13N</t>
  </si>
  <si>
    <t>TVöD 5</t>
  </si>
  <si>
    <t>TVöD 15</t>
  </si>
  <si>
    <t>TVöD 4</t>
  </si>
  <si>
    <t>TVöD 14</t>
  </si>
  <si>
    <t>TVöD 9A</t>
  </si>
  <si>
    <t>TVöD 3</t>
  </si>
  <si>
    <t>TVöD 13</t>
  </si>
  <si>
    <t>TVöD 8</t>
  </si>
  <si>
    <t>TVöD 2Ü</t>
  </si>
  <si>
    <t>TVöD 12</t>
  </si>
  <si>
    <t>TVöD 7</t>
  </si>
  <si>
    <t>TVöD 2</t>
  </si>
  <si>
    <t>TVöD 11</t>
  </si>
  <si>
    <t>TVöD 6</t>
  </si>
  <si>
    <t>TVöD 1</t>
  </si>
  <si>
    <t>TVöD 10</t>
  </si>
  <si>
    <t>Arbeitnehmer*</t>
  </si>
  <si>
    <t xml:space="preserve">A 6 S </t>
  </si>
  <si>
    <t xml:space="preserve">A 5 S </t>
  </si>
  <si>
    <t>Entgeltgruppe</t>
  </si>
  <si>
    <t>AZUBI TV-L</t>
  </si>
  <si>
    <t>A 4</t>
  </si>
  <si>
    <t>A 9</t>
  </si>
  <si>
    <t>Jahre</t>
  </si>
  <si>
    <t>Zinssatz</t>
  </si>
  <si>
    <t xml:space="preserve">Arbeitnehmer/-innen TV-L </t>
  </si>
  <si>
    <t xml:space="preserve">Arbeitnehmer/-innen TVÖD </t>
  </si>
  <si>
    <t xml:space="preserve">Beamte </t>
  </si>
  <si>
    <t>Auf- und Abzinsfaktor-Generator</t>
  </si>
  <si>
    <t>Geben Sie in den gelb markierten Feldern Zahlen für den Zeitraum und den Zinssatz ein.</t>
  </si>
  <si>
    <t>Aufzinsfaktor</t>
  </si>
  <si>
    <t>Abzinsfaktor</t>
  </si>
  <si>
    <t>arbeitsplätze aus Summe der Personalkosten)</t>
  </si>
  <si>
    <t xml:space="preserve"> Büroarbeitspl. aus Summe der Personalkosten)</t>
  </si>
  <si>
    <t>Büroarbeitspl. aus Summe der Personalkosten)</t>
  </si>
  <si>
    <t>Büroarbeitsplätze (20 % auf  Summe der Personalkosten)</t>
  </si>
  <si>
    <t>Nicht- Büroarbeitsplätze (15 % auf Summe der Personalkosten)</t>
  </si>
  <si>
    <t xml:space="preserve">Abschreibungen </t>
  </si>
  <si>
    <t xml:space="preserve">kalkulatorische Zinsen </t>
  </si>
  <si>
    <t>Mieten *</t>
  </si>
  <si>
    <t>für Büromaschinen (20 %)*</t>
  </si>
  <si>
    <t>für Mobiliar (10 %)*</t>
  </si>
  <si>
    <t>für Gebäude (2 %)*</t>
  </si>
  <si>
    <t xml:space="preserve">weitere </t>
  </si>
  <si>
    <t>Kumulierte Nutzen-Kosten-Berechnung</t>
  </si>
  <si>
    <t>Betrag</t>
  </si>
  <si>
    <t>Stand:</t>
  </si>
  <si>
    <t>Summe der Personalkosten (Teil der Folgekosten)</t>
  </si>
  <si>
    <t>Summe der Sachausgaben (Teil der Folgekosten)</t>
  </si>
  <si>
    <t>3.3.</t>
  </si>
  <si>
    <t>3.3.1.</t>
  </si>
  <si>
    <t>3.3.2.</t>
  </si>
  <si>
    <t>Unterhaltungs- und Instandsetzungsausgaben</t>
  </si>
  <si>
    <t xml:space="preserve">
Übrige Folgekosten</t>
  </si>
  <si>
    <t>Sonstige Ausgaben</t>
  </si>
  <si>
    <t>Summe der Gemeinkostenzuschläge (Teil der Folgekosten)</t>
  </si>
  <si>
    <t>nachr.: Summe der Folgekosten (gem. VV zu § 102 LHO)</t>
  </si>
  <si>
    <t>1.6.</t>
  </si>
  <si>
    <t>1.7.</t>
  </si>
  <si>
    <t>Einmalige Folgekosten Personal</t>
  </si>
  <si>
    <t>Jährliche Folgekosten Personal</t>
  </si>
  <si>
    <t>Arbeitsplätze ohne TUI (gemäß KGSt)</t>
  </si>
  <si>
    <t>Arbeitsplätze mit TUI (gemäß KGSt)</t>
  </si>
  <si>
    <r>
      <t>nachr.:</t>
    </r>
    <r>
      <rPr>
        <b/>
        <sz val="10"/>
        <rFont val="Arial"/>
        <family val="2"/>
      </rPr>
      <t xml:space="preserve"> Arbeitsplatzkosten;</t>
    </r>
    <r>
      <rPr>
        <sz val="10"/>
        <rFont val="Arial"/>
        <family val="2"/>
      </rPr>
      <t xml:space="preserve"> Einzelpositionen siehe unten</t>
    </r>
  </si>
  <si>
    <t>Folgekosten einmalig</t>
  </si>
  <si>
    <t>Sächliche Verwaltungsausgaben</t>
  </si>
  <si>
    <t>Unterhaltungs- und Instandhaltungsausgaben</t>
  </si>
  <si>
    <t>Folgekosten jährlich</t>
  </si>
  <si>
    <t>3.11.3.</t>
  </si>
  <si>
    <t>Einmalig</t>
  </si>
  <si>
    <t>Jährlich</t>
  </si>
  <si>
    <t>Folgekosten Gesamt (gem. VV zu § 102 LHO)</t>
  </si>
  <si>
    <t>TV-L 05</t>
  </si>
  <si>
    <t xml:space="preserve"> *) 3. Tariferhöhungen</t>
  </si>
  <si>
    <t>4. Arbeitsplatzkosten (pro Arbeitsplatz)</t>
  </si>
  <si>
    <t>Wirtschaftlichkeitsprognose für refinanzierte Beschäftigung</t>
  </si>
  <si>
    <t>Dienstbezüge (gem. Personalhauptkosten)</t>
  </si>
  <si>
    <t>Beihilfe (gem. Personalhauptkosten)</t>
  </si>
  <si>
    <t>Versorgungszuschläge</t>
  </si>
  <si>
    <t>1.1.5.</t>
  </si>
  <si>
    <t>Gehälter (gem. Personalhauptkosten)</t>
  </si>
  <si>
    <t xml:space="preserve">Versorgungszuschläge für Ruhelohnberechtigte </t>
  </si>
  <si>
    <t>Löhne (gem. Personalhauptkosten)</t>
  </si>
  <si>
    <r>
      <t>nachr.:</t>
    </r>
    <r>
      <rPr>
        <b/>
        <sz val="10"/>
        <rFont val="Arial"/>
        <family val="2"/>
      </rPr>
      <t xml:space="preserve"> Arbeitsplatzkosten</t>
    </r>
  </si>
  <si>
    <t>Anzahl Arbeitsplätze ohne TuI</t>
  </si>
  <si>
    <t>Anzahl Arbeitsplätze mit TuI</t>
  </si>
  <si>
    <t xml:space="preserve">Erträge </t>
  </si>
  <si>
    <t>Anschlag</t>
  </si>
  <si>
    <t>IST</t>
  </si>
  <si>
    <t>zu erwartende Mehreinnahmen aus der Maßnahme</t>
  </si>
  <si>
    <t>4.5.</t>
  </si>
  <si>
    <t>Kennzahl</t>
  </si>
  <si>
    <t>5.1.</t>
  </si>
  <si>
    <t>Zugrunde liegende Basiskennzahl (bspw. Antrags- oder Fallzahlen)</t>
  </si>
  <si>
    <t>5.2.</t>
  </si>
  <si>
    <t xml:space="preserve">Steigerung </t>
  </si>
  <si>
    <t>5.3.</t>
  </si>
  <si>
    <t>Fallzahlen gesamt</t>
  </si>
  <si>
    <t>Über- bzw. Unterdeckung (3. - 5.)</t>
  </si>
  <si>
    <t>(Nr. 6 / Stückzahlen)</t>
  </si>
  <si>
    <t>Die Eingabefelder sind gelb unterlegt</t>
  </si>
  <si>
    <t>erstes Jahr</t>
  </si>
  <si>
    <t>mit TUI</t>
  </si>
  <si>
    <t>ohne TUI</t>
  </si>
  <si>
    <t>Arbeitsplatzkosten in €</t>
  </si>
  <si>
    <t>Arbeitsplätze ohne TuI</t>
  </si>
  <si>
    <t>Arbeitsplätze mit TuI</t>
  </si>
  <si>
    <t>Inhalt</t>
  </si>
  <si>
    <t>Personalhaupkosten</t>
  </si>
  <si>
    <t>Berechnungsmethoden</t>
  </si>
  <si>
    <t xml:space="preserve">   1.</t>
  </si>
  <si>
    <t>Kostenvergleichsrechnung</t>
  </si>
  <si>
    <t xml:space="preserve">   2.</t>
  </si>
  <si>
    <t>Rentabilitätsberechnung</t>
  </si>
  <si>
    <t xml:space="preserve">   3.</t>
  </si>
  <si>
    <t xml:space="preserve">   4.</t>
  </si>
  <si>
    <t>Barwertmethode</t>
  </si>
  <si>
    <t>Refinanzierte Beschäftigung</t>
  </si>
  <si>
    <t>Berechnungshilfen</t>
  </si>
  <si>
    <t>AbAufzinsfaktorGenerator</t>
  </si>
  <si>
    <t>Abzinstabelle</t>
  </si>
  <si>
    <t>Aufzinstabelle</t>
  </si>
  <si>
    <t>Rahmendaten</t>
  </si>
  <si>
    <t>zurück zum Inhalt</t>
  </si>
  <si>
    <r>
      <t>Aus Urheberrechtsgründen ist es erforderlich, dass Sie sich die Informationen direkt bei der KGSt
beschaffen. Dazu melden Sie sich bitte dort an. Ein Link dazu finden Sie unter "</t>
    </r>
    <r>
      <rPr>
        <b/>
        <sz val="10"/>
        <rFont val="Arial"/>
        <family val="2"/>
      </rPr>
      <t xml:space="preserve">Rahmendaten /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Sachkosten eines Arbeitsplatzes</t>
    </r>
    <r>
      <rPr>
        <sz val="10"/>
        <rFont val="Arial"/>
        <family val="2"/>
      </rPr>
      <t>"</t>
    </r>
  </si>
  <si>
    <t>Personal- und Gemeinkosten</t>
  </si>
  <si>
    <t>Eingabe in den gelben Feldern</t>
  </si>
  <si>
    <t>Zinssatz für die Abzinsung (z.B.: 1,25):</t>
  </si>
  <si>
    <t>Variante Nr. und Bezeichnung:</t>
  </si>
  <si>
    <t>Investitionsausgaben</t>
  </si>
  <si>
    <t>zur Erweiterung des Betrachtungszeitraums siehe Anweisung unten</t>
  </si>
  <si>
    <t>zur Erweiterung des Betrachtungszeitraums sind folgende Arbeitsschritte nötig:</t>
  </si>
  <si>
    <t>Die Spalte K mit gedrückter linker Maustaste nach rechts über die erforderlichen neuen Spalten ziehen.</t>
  </si>
  <si>
    <t>Die Spalte J mit der linken Maustaste markieren und danach mit der rechten Maustaste auf Kopieren gehen.</t>
  </si>
  <si>
    <t>Danach Einfügen/ Blattspalten einfügen wählen.</t>
  </si>
  <si>
    <t>Alle Spalten K bis letzte Spalte mit der linken Maustaste markieren und mit der rechten Maustaste auf Einfügen (ganz links) gehen.</t>
  </si>
  <si>
    <t>A 13 + Z</t>
  </si>
  <si>
    <t>Folgende Tariferhöhungen und Besoldungsanpassung sind in den Berechnungen enthalten:</t>
  </si>
  <si>
    <t>SuE 18</t>
  </si>
  <si>
    <t>SuE 13</t>
  </si>
  <si>
    <t>SuE 8A</t>
  </si>
  <si>
    <t>SuE 17</t>
  </si>
  <si>
    <t>SuE 12</t>
  </si>
  <si>
    <t>SuE 7</t>
  </si>
  <si>
    <t>SuE 16</t>
  </si>
  <si>
    <t>SuE 11B</t>
  </si>
  <si>
    <t>SuE 4</t>
  </si>
  <si>
    <t>SuE 15</t>
  </si>
  <si>
    <t>SuE 9</t>
  </si>
  <si>
    <t>SuE 8B</t>
  </si>
  <si>
    <t>R 4</t>
  </si>
  <si>
    <t>TVöD 9C</t>
  </si>
  <si>
    <t>TVöD 9B</t>
  </si>
  <si>
    <t>TV-L 01</t>
  </si>
  <si>
    <t>Die Daten finden Sie unter "Hilfe für Vorlagenersteller/Rahmendaten/Jahresarbeitsstunden und Tage in Bremen"</t>
  </si>
  <si>
    <t>A 16 S</t>
  </si>
  <si>
    <t>A 10 S</t>
  </si>
  <si>
    <t>9A</t>
  </si>
  <si>
    <t>9B</t>
  </si>
  <si>
    <t>IV. Entgelte für Beschäftigte des Sozial- und Erziehungsdienst (TV-L)</t>
  </si>
  <si>
    <t>08B</t>
  </si>
  <si>
    <t>08A</t>
  </si>
  <si>
    <t>11B</t>
  </si>
  <si>
    <t>04</t>
  </si>
  <si>
    <t>V. Entgelte für Beschäftigte des TVÖD</t>
  </si>
  <si>
    <t>VI. Entgelte für Beschäftigte des Sozial- und Erziehungsdienstes (TVÖD kommunal)</t>
  </si>
  <si>
    <t>VII. Praktikanten TV-L</t>
  </si>
  <si>
    <t>VIII. Auszubildende</t>
  </si>
  <si>
    <t>IX. Jahresarbeitsstunden und Tage</t>
  </si>
  <si>
    <t>1. Durchschnittliche Personalhauptkosten 2022 in EURO *)</t>
  </si>
  <si>
    <t>TVöD 15 Ü</t>
  </si>
  <si>
    <t>TV-L 02</t>
  </si>
  <si>
    <t xml:space="preserve">Die Tariferhöhung des TVöD(Ø 1,8% ab April 2022) für 2022. </t>
  </si>
  <si>
    <t>Die Erhöhung des TV-L/Besoldungsabschlusses für 2022 (Ø 2,8% ab Dezember 2022)</t>
  </si>
  <si>
    <t xml:space="preserve">Corona-Sonderprämie im TV-L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</si>
</sst>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#,##0.00\ &quot;€&quot;;\-#,##0.00\ &quot;€&quot;"/>
    <numFmt numFmtId="164" formatCode="#,##0\ &quot;DM&quot;;\-#,##0\ &quot;DM&quot;"/>
    <numFmt numFmtId="165" formatCode="0.0000"/>
    <numFmt numFmtId="166" formatCode="0.0%"/>
    <numFmt numFmtId="167" formatCode="0.00\ %"/>
    <numFmt numFmtId="168" formatCode="#,##0.00\ %"/>
    <numFmt numFmtId="169" formatCode="#,##0\ &quot;€&quot;"/>
    <numFmt numFmtId="170" formatCode="d/m/yyyy;@"/>
    <numFmt numFmtId="171" formatCode="mmm\ yyyy"/>
  </numFmts>
  <fonts count="33">
    <font>
      <sz val="10"/>
      <name val="Arial"/>
    </font>
    <font>
      <sz val="10"/>
      <name val="Arial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MetaNormalLF-Roman"/>
      <family val="2"/>
    </font>
    <font>
      <b/>
      <sz val="12"/>
      <name val="MetaNormalLF-Roman"/>
      <family val="2"/>
    </font>
    <font>
      <sz val="10"/>
      <name val="MetaNormalLF-Roman"/>
      <family val="2"/>
    </font>
    <font>
      <u/>
      <sz val="7.5"/>
      <color indexed="12"/>
      <name val="Arial"/>
      <family val="2"/>
    </font>
    <font>
      <b/>
      <sz val="10"/>
      <name val="MetaNormalLF-Roman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u/>
      <sz val="14"/>
      <color indexed="12"/>
      <name val="Arial"/>
      <family val="2"/>
    </font>
    <font>
      <b/>
      <sz val="16"/>
      <name val="MetaNormalLF-Roman"/>
      <family val="2"/>
    </font>
    <font>
      <sz val="16"/>
      <name val="MetaNormalLF-Roman"/>
      <family val="2"/>
    </font>
    <font>
      <u/>
      <sz val="16"/>
      <color indexed="12"/>
      <name val="Arial"/>
      <family val="2"/>
    </font>
    <font>
      <sz val="16"/>
      <name val="Arial"/>
      <family val="2"/>
    </font>
    <font>
      <b/>
      <sz val="20"/>
      <name val="MetaNormalLF-Roman"/>
      <family val="2"/>
    </font>
    <font>
      <u/>
      <sz val="10"/>
      <color indexed="12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422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3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5" fillId="0" borderId="3" xfId="0" applyFont="1" applyBorder="1"/>
    <xf numFmtId="3" fontId="0" fillId="0" borderId="8" xfId="0" applyNumberFormat="1" applyBorder="1" applyAlignment="1">
      <alignment horizontal="right"/>
    </xf>
    <xf numFmtId="0" fontId="3" fillId="0" borderId="1" xfId="0" applyFont="1" applyBorder="1"/>
    <xf numFmtId="0" fontId="3" fillId="0" borderId="4" xfId="0" applyFont="1" applyBorder="1"/>
    <xf numFmtId="0" fontId="4" fillId="0" borderId="6" xfId="0" applyFont="1" applyBorder="1"/>
    <xf numFmtId="0" fontId="4" fillId="0" borderId="11" xfId="0" applyFont="1" applyBorder="1"/>
    <xf numFmtId="0" fontId="0" fillId="0" borderId="11" xfId="0" applyBorder="1"/>
    <xf numFmtId="0" fontId="3" fillId="0" borderId="11" xfId="0" applyFont="1" applyBorder="1"/>
    <xf numFmtId="0" fontId="3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0" borderId="5" xfId="0" applyBorder="1" applyAlignment="1"/>
    <xf numFmtId="3" fontId="0" fillId="0" borderId="16" xfId="0" applyNumberFormat="1" applyBorder="1" applyAlignment="1">
      <alignment horizontal="right"/>
    </xf>
    <xf numFmtId="0" fontId="5" fillId="0" borderId="0" xfId="0" applyFont="1" applyBorder="1" applyAlignment="1"/>
    <xf numFmtId="14" fontId="5" fillId="0" borderId="3" xfId="0" applyNumberFormat="1" applyFont="1" applyBorder="1"/>
    <xf numFmtId="0" fontId="5" fillId="0" borderId="1" xfId="0" applyFont="1" applyBorder="1"/>
    <xf numFmtId="0" fontId="5" fillId="0" borderId="4" xfId="0" applyFont="1" applyBorder="1" applyAlignment="1"/>
    <xf numFmtId="3" fontId="5" fillId="0" borderId="16" xfId="0" applyNumberFormat="1" applyFont="1" applyBorder="1" applyAlignment="1">
      <alignment horizontal="right"/>
    </xf>
    <xf numFmtId="0" fontId="4" fillId="0" borderId="17" xfId="0" applyFont="1" applyBorder="1"/>
    <xf numFmtId="3" fontId="0" fillId="0" borderId="0" xfId="0" applyNumberFormat="1"/>
    <xf numFmtId="0" fontId="4" fillId="0" borderId="4" xfId="0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0" fillId="0" borderId="23" xfId="0" applyBorder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2" xfId="0" applyFont="1" applyBorder="1" applyProtection="1">
      <protection locked="0"/>
    </xf>
    <xf numFmtId="166" fontId="3" fillId="0" borderId="4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/>
    <xf numFmtId="0" fontId="8" fillId="0" borderId="11" xfId="0" applyFont="1" applyBorder="1"/>
    <xf numFmtId="3" fontId="0" fillId="2" borderId="8" xfId="0" applyNumberFormat="1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0" fillId="2" borderId="13" xfId="0" applyNumberFormat="1" applyFill="1" applyBorder="1" applyAlignment="1" applyProtection="1">
      <alignment horizontal="right"/>
      <protection locked="0"/>
    </xf>
    <xf numFmtId="165" fontId="0" fillId="0" borderId="0" xfId="0" applyNumberFormat="1" applyBorder="1" applyProtection="1"/>
    <xf numFmtId="165" fontId="0" fillId="0" borderId="5" xfId="0" applyNumberFormat="1" applyBorder="1" applyProtection="1"/>
    <xf numFmtId="0" fontId="6" fillId="0" borderId="0" xfId="0" applyFont="1" applyProtection="1"/>
    <xf numFmtId="0" fontId="0" fillId="0" borderId="0" xfId="0" applyProtection="1"/>
    <xf numFmtId="0" fontId="3" fillId="0" borderId="12" xfId="0" applyFont="1" applyBorder="1" applyProtection="1"/>
    <xf numFmtId="166" fontId="3" fillId="0" borderId="4" xfId="0" applyNumberFormat="1" applyFont="1" applyBorder="1" applyProtection="1"/>
    <xf numFmtId="166" fontId="3" fillId="0" borderId="2" xfId="0" applyNumberFormat="1" applyFont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0" fillId="0" borderId="0" xfId="0" applyBorder="1" applyProtection="1"/>
    <xf numFmtId="0" fontId="3" fillId="0" borderId="13" xfId="0" applyFont="1" applyBorder="1" applyProtection="1"/>
    <xf numFmtId="0" fontId="0" fillId="0" borderId="5" xfId="0" applyBorder="1" applyProtection="1"/>
    <xf numFmtId="0" fontId="3" fillId="0" borderId="0" xfId="0" applyFont="1" applyBorder="1" applyProtection="1"/>
    <xf numFmtId="0" fontId="10" fillId="0" borderId="0" xfId="0" applyFont="1"/>
    <xf numFmtId="0" fontId="8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/>
    <xf numFmtId="0" fontId="10" fillId="0" borderId="5" xfId="0" applyFont="1" applyBorder="1"/>
    <xf numFmtId="0" fontId="10" fillId="0" borderId="4" xfId="0" applyFont="1" applyBorder="1"/>
    <xf numFmtId="0" fontId="5" fillId="0" borderId="0" xfId="0" applyFont="1"/>
    <xf numFmtId="0" fontId="8" fillId="0" borderId="4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/>
    <xf numFmtId="0" fontId="10" fillId="0" borderId="5" xfId="0" applyFont="1" applyBorder="1" applyAlignment="1">
      <alignment horizontal="centerContinuous"/>
    </xf>
    <xf numFmtId="0" fontId="8" fillId="0" borderId="5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25" xfId="0" applyFont="1" applyBorder="1"/>
    <xf numFmtId="0" fontId="10" fillId="0" borderId="10" xfId="0" applyFont="1" applyBorder="1"/>
    <xf numFmtId="0" fontId="10" fillId="0" borderId="7" xfId="0" applyFont="1" applyBorder="1"/>
    <xf numFmtId="0" fontId="12" fillId="0" borderId="0" xfId="0" applyFont="1"/>
    <xf numFmtId="0" fontId="9" fillId="0" borderId="0" xfId="0" applyFont="1"/>
    <xf numFmtId="0" fontId="8" fillId="0" borderId="1" xfId="0" applyFont="1" applyBorder="1" applyAlignment="1"/>
    <xf numFmtId="0" fontId="10" fillId="0" borderId="4" xfId="0" applyFont="1" applyBorder="1" applyAlignment="1"/>
    <xf numFmtId="0" fontId="10" fillId="0" borderId="1" xfId="0" applyFont="1" applyBorder="1"/>
    <xf numFmtId="0" fontId="10" fillId="2" borderId="1" xfId="0" applyFont="1" applyFill="1" applyBorder="1" applyAlignment="1" applyProtection="1">
      <alignment horizontal="centerContinuous"/>
      <protection locked="0"/>
    </xf>
    <xf numFmtId="0" fontId="13" fillId="0" borderId="1" xfId="0" applyFont="1" applyFill="1" applyBorder="1" applyAlignment="1" applyProtection="1">
      <alignment horizontal="centerContinuous"/>
      <protection locked="0"/>
    </xf>
    <xf numFmtId="0" fontId="13" fillId="0" borderId="4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Alignment="1" applyProtection="1">
      <alignment horizontal="centerContinuous"/>
      <protection locked="0"/>
    </xf>
    <xf numFmtId="0" fontId="10" fillId="2" borderId="12" xfId="0" applyFont="1" applyFill="1" applyBorder="1" applyProtection="1">
      <protection locked="0"/>
    </xf>
    <xf numFmtId="0" fontId="8" fillId="0" borderId="1" xfId="0" applyFont="1" applyBorder="1"/>
    <xf numFmtId="0" fontId="13" fillId="0" borderId="14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13" fillId="0" borderId="8" xfId="0" applyFont="1" applyBorder="1"/>
    <xf numFmtId="0" fontId="10" fillId="0" borderId="3" xfId="0" applyFont="1" applyBorder="1"/>
    <xf numFmtId="3" fontId="13" fillId="2" borderId="8" xfId="0" applyNumberFormat="1" applyFont="1" applyFill="1" applyBorder="1" applyProtection="1">
      <protection locked="0"/>
    </xf>
    <xf numFmtId="3" fontId="13" fillId="0" borderId="12" xfId="0" applyNumberFormat="1" applyFont="1" applyBorder="1" applyProtection="1">
      <protection locked="0"/>
    </xf>
    <xf numFmtId="3" fontId="13" fillId="0" borderId="8" xfId="0" applyNumberFormat="1" applyFont="1" applyBorder="1"/>
    <xf numFmtId="3" fontId="13" fillId="0" borderId="13" xfId="0" applyNumberFormat="1" applyFont="1" applyBorder="1" applyProtection="1">
      <protection locked="0"/>
    </xf>
    <xf numFmtId="0" fontId="8" fillId="0" borderId="0" xfId="0" applyFont="1" applyBorder="1" applyAlignment="1">
      <alignment horizontal="left"/>
    </xf>
    <xf numFmtId="0" fontId="10" fillId="0" borderId="26" xfId="0" applyFont="1" applyBorder="1" applyAlignment="1"/>
    <xf numFmtId="0" fontId="10" fillId="0" borderId="9" xfId="0" applyFont="1" applyBorder="1" applyAlignment="1"/>
    <xf numFmtId="3" fontId="13" fillId="2" borderId="14" xfId="0" applyNumberFormat="1" applyFont="1" applyFill="1" applyBorder="1" applyAlignment="1" applyProtection="1">
      <protection locked="0"/>
    </xf>
    <xf numFmtId="0" fontId="10" fillId="0" borderId="3" xfId="0" applyFont="1" applyBorder="1" applyAlignment="1"/>
    <xf numFmtId="0" fontId="10" fillId="0" borderId="0" xfId="0" applyFont="1" applyBorder="1" applyAlignment="1"/>
    <xf numFmtId="0" fontId="10" fillId="0" borderId="1" xfId="0" applyFont="1" applyBorder="1" applyAlignment="1"/>
    <xf numFmtId="3" fontId="13" fillId="0" borderId="12" xfId="0" applyNumberFormat="1" applyFont="1" applyBorder="1" applyAlignment="1" applyProtection="1">
      <protection locked="0"/>
    </xf>
    <xf numFmtId="0" fontId="8" fillId="0" borderId="6" xfId="0" applyFont="1" applyBorder="1"/>
    <xf numFmtId="0" fontId="8" fillId="0" borderId="20" xfId="0" applyFont="1" applyBorder="1"/>
    <xf numFmtId="0" fontId="10" fillId="0" borderId="16" xfId="0" applyFont="1" applyBorder="1"/>
    <xf numFmtId="3" fontId="13" fillId="0" borderId="16" xfId="0" applyNumberFormat="1" applyFont="1" applyBorder="1" applyProtection="1">
      <protection locked="0"/>
    </xf>
    <xf numFmtId="0" fontId="8" fillId="0" borderId="7" xfId="0" applyFont="1" applyBorder="1"/>
    <xf numFmtId="3" fontId="13" fillId="2" borderId="12" xfId="0" applyNumberFormat="1" applyFont="1" applyFill="1" applyBorder="1" applyProtection="1">
      <protection locked="0"/>
    </xf>
    <xf numFmtId="0" fontId="8" fillId="0" borderId="2" xfId="0" applyFont="1" applyBorder="1"/>
    <xf numFmtId="0" fontId="10" fillId="0" borderId="15" xfId="0" applyFont="1" applyBorder="1"/>
    <xf numFmtId="0" fontId="10" fillId="0" borderId="0" xfId="0" applyFont="1" applyBorder="1" applyAlignment="1">
      <alignment horizontal="left"/>
    </xf>
    <xf numFmtId="0" fontId="10" fillId="0" borderId="26" xfId="0" applyFont="1" applyBorder="1"/>
    <xf numFmtId="3" fontId="13" fillId="0" borderId="14" xfId="0" applyNumberFormat="1" applyFont="1" applyBorder="1" applyProtection="1">
      <protection locked="0"/>
    </xf>
    <xf numFmtId="3" fontId="13" fillId="0" borderId="12" xfId="0" applyNumberFormat="1" applyFont="1" applyBorder="1"/>
    <xf numFmtId="3" fontId="13" fillId="2" borderId="13" xfId="0" applyNumberFormat="1" applyFont="1" applyFill="1" applyBorder="1" applyProtection="1">
      <protection locked="0"/>
    </xf>
    <xf numFmtId="0" fontId="10" fillId="0" borderId="17" xfId="0" applyFont="1" applyBorder="1"/>
    <xf numFmtId="3" fontId="13" fillId="0" borderId="8" xfId="0" applyNumberFormat="1" applyFont="1" applyBorder="1" applyAlignment="1">
      <alignment horizontal="right"/>
    </xf>
    <xf numFmtId="0" fontId="10" fillId="0" borderId="11" xfId="0" applyFont="1" applyBorder="1"/>
    <xf numFmtId="0" fontId="13" fillId="0" borderId="18" xfId="0" applyFont="1" applyBorder="1"/>
    <xf numFmtId="0" fontId="8" fillId="0" borderId="19" xfId="0" applyFont="1" applyBorder="1"/>
    <xf numFmtId="0" fontId="13" fillId="2" borderId="12" xfId="0" applyFont="1" applyFill="1" applyBorder="1" applyProtection="1">
      <protection locked="0"/>
    </xf>
    <xf numFmtId="0" fontId="13" fillId="0" borderId="27" xfId="0" applyFont="1" applyBorder="1" applyProtection="1">
      <protection locked="0"/>
    </xf>
    <xf numFmtId="0" fontId="10" fillId="0" borderId="1" xfId="0" applyFont="1" applyFill="1" applyBorder="1" applyAlignment="1" applyProtection="1">
      <alignment horizontal="centerContinuous"/>
      <protection locked="0"/>
    </xf>
    <xf numFmtId="0" fontId="10" fillId="0" borderId="4" xfId="0" applyFont="1" applyFill="1" applyBorder="1" applyAlignment="1" applyProtection="1">
      <alignment horizontal="centerContinuous"/>
      <protection locked="0"/>
    </xf>
    <xf numFmtId="0" fontId="10" fillId="0" borderId="2" xfId="0" applyFont="1" applyFill="1" applyBorder="1" applyAlignment="1" applyProtection="1">
      <alignment horizontal="centerContinuous"/>
      <protection locked="0"/>
    </xf>
    <xf numFmtId="3" fontId="10" fillId="0" borderId="8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6" xfId="0" applyNumberFormat="1" applyFont="1" applyBorder="1"/>
    <xf numFmtId="3" fontId="10" fillId="2" borderId="12" xfId="0" applyNumberFormat="1" applyFont="1" applyFill="1" applyBorder="1" applyProtection="1">
      <protection locked="0"/>
    </xf>
    <xf numFmtId="3" fontId="10" fillId="2" borderId="13" xfId="0" applyNumberFormat="1" applyFont="1" applyFill="1" applyBorder="1" applyProtection="1">
      <protection locked="0"/>
    </xf>
    <xf numFmtId="3" fontId="10" fillId="0" borderId="12" xfId="0" applyNumberFormat="1" applyFont="1" applyBorder="1" applyProtection="1">
      <protection locked="0"/>
    </xf>
    <xf numFmtId="3" fontId="10" fillId="0" borderId="8" xfId="0" applyNumberFormat="1" applyFont="1" applyBorder="1" applyAlignment="1">
      <alignment horizontal="center"/>
    </xf>
    <xf numFmtId="3" fontId="10" fillId="2" borderId="12" xfId="0" applyNumberFormat="1" applyFont="1" applyFill="1" applyBorder="1" applyAlignment="1" applyProtection="1">
      <alignment horizontal="right"/>
      <protection locked="0"/>
    </xf>
    <xf numFmtId="3" fontId="10" fillId="0" borderId="24" xfId="0" applyNumberFormat="1" applyFont="1" applyBorder="1"/>
    <xf numFmtId="3" fontId="10" fillId="2" borderId="28" xfId="0" applyNumberFormat="1" applyFont="1" applyFill="1" applyBorder="1" applyProtection="1">
      <protection locked="0"/>
    </xf>
    <xf numFmtId="3" fontId="10" fillId="2" borderId="0" xfId="0" applyNumberFormat="1" applyFont="1" applyFill="1" applyBorder="1" applyProtection="1">
      <protection locked="0"/>
    </xf>
    <xf numFmtId="0" fontId="8" fillId="0" borderId="29" xfId="0" applyFont="1" applyBorder="1"/>
    <xf numFmtId="0" fontId="9" fillId="0" borderId="0" xfId="0" applyFont="1" applyAlignment="1"/>
    <xf numFmtId="0" fontId="8" fillId="0" borderId="30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 wrapText="1"/>
    </xf>
    <xf numFmtId="0" fontId="11" fillId="0" borderId="0" xfId="0" applyFont="1"/>
    <xf numFmtId="0" fontId="8" fillId="0" borderId="10" xfId="0" applyFont="1" applyBorder="1" applyAlignment="1">
      <alignment horizontal="center"/>
    </xf>
    <xf numFmtId="0" fontId="8" fillId="0" borderId="9" xfId="0" applyFont="1" applyBorder="1"/>
    <xf numFmtId="3" fontId="13" fillId="0" borderId="8" xfId="0" applyNumberFormat="1" applyFont="1" applyBorder="1" applyProtection="1"/>
    <xf numFmtId="3" fontId="13" fillId="0" borderId="8" xfId="0" applyNumberFormat="1" applyFont="1" applyBorder="1" applyAlignment="1" applyProtection="1"/>
    <xf numFmtId="3" fontId="13" fillId="0" borderId="13" xfId="0" applyNumberFormat="1" applyFont="1" applyBorder="1" applyProtection="1"/>
    <xf numFmtId="0" fontId="11" fillId="0" borderId="0" xfId="0" applyFont="1" applyBorder="1" applyProtection="1"/>
    <xf numFmtId="0" fontId="8" fillId="0" borderId="5" xfId="0" applyFont="1" applyBorder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11" fillId="0" borderId="5" xfId="0" applyFont="1" applyBorder="1" applyProtection="1"/>
    <xf numFmtId="3" fontId="10" fillId="0" borderId="14" xfId="0" applyNumberFormat="1" applyFont="1" applyFill="1" applyBorder="1" applyProtection="1">
      <protection locked="0"/>
    </xf>
    <xf numFmtId="3" fontId="13" fillId="0" borderId="14" xfId="0" applyNumberFormat="1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2" fontId="15" fillId="2" borderId="0" xfId="0" applyNumberFormat="1" applyFont="1" applyFill="1"/>
    <xf numFmtId="2" fontId="15" fillId="0" borderId="0" xfId="0" applyNumberFormat="1" applyFont="1"/>
    <xf numFmtId="165" fontId="11" fillId="0" borderId="0" xfId="0" applyNumberFormat="1" applyFont="1"/>
    <xf numFmtId="0" fontId="8" fillId="0" borderId="4" xfId="0" applyFont="1" applyBorder="1" applyAlignment="1"/>
    <xf numFmtId="0" fontId="10" fillId="0" borderId="0" xfId="0" applyFont="1" applyAlignment="1">
      <alignment horizontal="right"/>
    </xf>
    <xf numFmtId="3" fontId="8" fillId="0" borderId="0" xfId="0" applyNumberFormat="1" applyFont="1"/>
    <xf numFmtId="0" fontId="16" fillId="0" borderId="0" xfId="0" applyFont="1"/>
    <xf numFmtId="0" fontId="11" fillId="0" borderId="5" xfId="0" applyFont="1" applyBorder="1"/>
    <xf numFmtId="169" fontId="0" fillId="0" borderId="0" xfId="0" applyNumberFormat="1"/>
    <xf numFmtId="0" fontId="10" fillId="0" borderId="5" xfId="0" applyFont="1" applyBorder="1" applyAlignment="1"/>
    <xf numFmtId="0" fontId="4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/>
    <xf numFmtId="0" fontId="3" fillId="0" borderId="5" xfId="0" applyFont="1" applyBorder="1"/>
    <xf numFmtId="0" fontId="0" fillId="0" borderId="25" xfId="0" applyBorder="1" applyAlignment="1">
      <alignment horizontal="center"/>
    </xf>
    <xf numFmtId="0" fontId="4" fillId="0" borderId="5" xfId="0" applyFont="1" applyBorder="1"/>
    <xf numFmtId="170" fontId="10" fillId="0" borderId="10" xfId="0" applyNumberFormat="1" applyFont="1" applyBorder="1" applyAlignment="1">
      <alignment horizontal="center" vertical="top"/>
    </xf>
    <xf numFmtId="0" fontId="6" fillId="0" borderId="5" xfId="0" applyFont="1" applyBorder="1" applyAlignment="1"/>
    <xf numFmtId="0" fontId="15" fillId="0" borderId="5" xfId="0" applyFont="1" applyBorder="1" applyAlignment="1"/>
    <xf numFmtId="0" fontId="6" fillId="0" borderId="5" xfId="0" applyFont="1" applyBorder="1"/>
    <xf numFmtId="0" fontId="15" fillId="0" borderId="5" xfId="0" applyFont="1" applyBorder="1"/>
    <xf numFmtId="0" fontId="8" fillId="0" borderId="26" xfId="0" applyFont="1" applyBorder="1" applyAlignment="1"/>
    <xf numFmtId="16" fontId="8" fillId="0" borderId="6" xfId="0" applyNumberFormat="1" applyFont="1" applyBorder="1"/>
    <xf numFmtId="0" fontId="10" fillId="0" borderId="6" xfId="0" applyFont="1" applyBorder="1"/>
    <xf numFmtId="0" fontId="13" fillId="0" borderId="9" xfId="0" applyFont="1" applyBorder="1"/>
    <xf numFmtId="0" fontId="13" fillId="0" borderId="5" xfId="0" applyFont="1" applyBorder="1" applyAlignment="1"/>
    <xf numFmtId="0" fontId="13" fillId="0" borderId="5" xfId="0" applyFont="1" applyBorder="1"/>
    <xf numFmtId="0" fontId="0" fillId="0" borderId="0" xfId="0" applyBorder="1" applyAlignment="1">
      <alignment horizontal="left"/>
    </xf>
    <xf numFmtId="0" fontId="10" fillId="0" borderId="5" xfId="0" applyFont="1" applyBorder="1" applyAlignment="1"/>
    <xf numFmtId="0" fontId="10" fillId="0" borderId="25" xfId="0" applyFont="1" applyBorder="1" applyAlignment="1">
      <alignment horizontal="center"/>
    </xf>
    <xf numFmtId="170" fontId="10" fillId="4" borderId="10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 applyProtection="1">
      <protection locked="0"/>
    </xf>
    <xf numFmtId="0" fontId="10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alignment horizontal="centerContinuous"/>
      <protection locked="0"/>
    </xf>
    <xf numFmtId="0" fontId="10" fillId="0" borderId="25" xfId="0" applyFont="1" applyFill="1" applyBorder="1" applyAlignment="1" applyProtection="1">
      <alignment horizontal="centerContinuous"/>
      <protection locked="0"/>
    </xf>
    <xf numFmtId="49" fontId="10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3" fillId="5" borderId="13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5" borderId="8" xfId="0" applyFont="1" applyFill="1" applyBorder="1"/>
    <xf numFmtId="0" fontId="10" fillId="0" borderId="8" xfId="0" applyFont="1" applyBorder="1"/>
    <xf numFmtId="3" fontId="10" fillId="5" borderId="8" xfId="0" applyNumberFormat="1" applyFont="1" applyFill="1" applyBorder="1" applyProtection="1">
      <protection locked="0"/>
    </xf>
    <xf numFmtId="3" fontId="10" fillId="2" borderId="8" xfId="0" applyNumberFormat="1" applyFont="1" applyFill="1" applyBorder="1" applyProtection="1">
      <protection locked="0"/>
    </xf>
    <xf numFmtId="3" fontId="10" fillId="5" borderId="8" xfId="0" applyNumberFormat="1" applyFont="1" applyFill="1" applyBorder="1" applyProtection="1"/>
    <xf numFmtId="3" fontId="10" fillId="4" borderId="8" xfId="0" applyNumberFormat="1" applyFont="1" applyFill="1" applyBorder="1" applyProtection="1"/>
    <xf numFmtId="3" fontId="10" fillId="0" borderId="8" xfId="0" applyNumberFormat="1" applyFont="1" applyBorder="1" applyProtection="1"/>
    <xf numFmtId="49" fontId="0" fillId="0" borderId="0" xfId="0" applyNumberFormat="1" applyAlignment="1">
      <alignment horizontal="left" vertical="top" wrapText="1"/>
    </xf>
    <xf numFmtId="3" fontId="10" fillId="5" borderId="12" xfId="0" applyNumberFormat="1" applyFont="1" applyFill="1" applyBorder="1" applyProtection="1">
      <protection locked="0"/>
    </xf>
    <xf numFmtId="3" fontId="10" fillId="5" borderId="8" xfId="0" applyNumberFormat="1" applyFont="1" applyFill="1" applyBorder="1"/>
    <xf numFmtId="3" fontId="10" fillId="5" borderId="8" xfId="0" applyNumberFormat="1" applyFont="1" applyFill="1" applyBorder="1" applyAlignment="1" applyProtection="1"/>
    <xf numFmtId="3" fontId="10" fillId="0" borderId="8" xfId="0" applyNumberFormat="1" applyFont="1" applyBorder="1" applyAlignment="1" applyProtection="1"/>
    <xf numFmtId="3" fontId="10" fillId="5" borderId="13" xfId="0" applyNumberFormat="1" applyFont="1" applyFill="1" applyBorder="1" applyProtection="1"/>
    <xf numFmtId="3" fontId="10" fillId="0" borderId="13" xfId="0" applyNumberFormat="1" applyFont="1" applyBorder="1" applyProtection="1"/>
    <xf numFmtId="3" fontId="10" fillId="5" borderId="14" xfId="0" applyNumberFormat="1" applyFont="1" applyFill="1" applyBorder="1" applyProtection="1">
      <protection locked="0"/>
    </xf>
    <xf numFmtId="3" fontId="10" fillId="0" borderId="14" xfId="0" applyNumberFormat="1" applyFont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0" fontId="10" fillId="5" borderId="26" xfId="0" applyFont="1" applyFill="1" applyBorder="1"/>
    <xf numFmtId="0" fontId="10" fillId="5" borderId="14" xfId="0" applyFont="1" applyFill="1" applyBorder="1"/>
    <xf numFmtId="0" fontId="10" fillId="0" borderId="14" xfId="0" applyFont="1" applyBorder="1"/>
    <xf numFmtId="3" fontId="10" fillId="5" borderId="3" xfId="0" applyNumberFormat="1" applyFont="1" applyFill="1" applyBorder="1" applyAlignment="1" applyProtection="1">
      <protection locked="0"/>
    </xf>
    <xf numFmtId="3" fontId="10" fillId="5" borderId="8" xfId="0" applyNumberFormat="1" applyFont="1" applyFill="1" applyBorder="1" applyAlignment="1" applyProtection="1">
      <protection locked="0"/>
    </xf>
    <xf numFmtId="3" fontId="10" fillId="2" borderId="8" xfId="0" applyNumberFormat="1" applyFont="1" applyFill="1" applyBorder="1" applyAlignment="1" applyProtection="1">
      <protection locked="0"/>
    </xf>
    <xf numFmtId="3" fontId="10" fillId="5" borderId="3" xfId="0" applyNumberFormat="1" applyFont="1" applyFill="1" applyBorder="1" applyAlignment="1" applyProtection="1"/>
    <xf numFmtId="3" fontId="10" fillId="5" borderId="7" xfId="0" applyNumberFormat="1" applyFont="1" applyFill="1" applyBorder="1" applyProtection="1"/>
    <xf numFmtId="3" fontId="10" fillId="5" borderId="12" xfId="0" applyNumberFormat="1" applyFont="1" applyFill="1" applyBorder="1" applyAlignment="1" applyProtection="1">
      <protection locked="0"/>
    </xf>
    <xf numFmtId="3" fontId="10" fillId="0" borderId="12" xfId="0" applyNumberFormat="1" applyFont="1" applyBorder="1" applyAlignment="1" applyProtection="1">
      <protection locked="0"/>
    </xf>
    <xf numFmtId="3" fontId="10" fillId="5" borderId="16" xfId="0" applyNumberFormat="1" applyFont="1" applyFill="1" applyBorder="1" applyProtection="1">
      <protection locked="0"/>
    </xf>
    <xf numFmtId="3" fontId="10" fillId="0" borderId="16" xfId="0" applyNumberFormat="1" applyFont="1" applyBorder="1" applyProtection="1">
      <protection locked="0"/>
    </xf>
    <xf numFmtId="0" fontId="10" fillId="5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4" borderId="8" xfId="0" applyFont="1" applyFill="1" applyBorder="1"/>
    <xf numFmtId="3" fontId="10" fillId="0" borderId="8" xfId="0" applyNumberFormat="1" applyFont="1" applyFill="1" applyBorder="1" applyProtection="1">
      <protection locked="0"/>
    </xf>
    <xf numFmtId="3" fontId="10" fillId="5" borderId="13" xfId="0" applyNumberFormat="1" applyFont="1" applyFill="1" applyBorder="1" applyProtection="1">
      <protection locked="0"/>
    </xf>
    <xf numFmtId="3" fontId="10" fillId="0" borderId="13" xfId="0" applyNumberFormat="1" applyFont="1" applyFill="1" applyBorder="1" applyProtection="1">
      <protection locked="0"/>
    </xf>
    <xf numFmtId="3" fontId="10" fillId="2" borderId="3" xfId="0" applyNumberFormat="1" applyFont="1" applyFill="1" applyBorder="1" applyProtection="1">
      <protection locked="0"/>
    </xf>
    <xf numFmtId="3" fontId="10" fillId="2" borderId="35" xfId="0" applyNumberFormat="1" applyFont="1" applyFill="1" applyBorder="1" applyProtection="1">
      <protection locked="0"/>
    </xf>
    <xf numFmtId="3" fontId="10" fillId="0" borderId="16" xfId="0" applyNumberFormat="1" applyFont="1" applyFill="1" applyBorder="1" applyProtection="1">
      <protection locked="0"/>
    </xf>
    <xf numFmtId="3" fontId="10" fillId="0" borderId="6" xfId="0" applyNumberFormat="1" applyFont="1" applyFill="1" applyBorder="1" applyProtection="1">
      <protection locked="0"/>
    </xf>
    <xf numFmtId="3" fontId="10" fillId="0" borderId="36" xfId="0" applyNumberFormat="1" applyFont="1" applyBorder="1" applyProtection="1">
      <protection locked="0"/>
    </xf>
    <xf numFmtId="3" fontId="10" fillId="0" borderId="0" xfId="0" applyNumberFormat="1" applyFont="1" applyBorder="1" applyProtection="1">
      <protection locked="0"/>
    </xf>
    <xf numFmtId="3" fontId="10" fillId="2" borderId="14" xfId="0" applyNumberFormat="1" applyFont="1" applyFill="1" applyBorder="1" applyProtection="1">
      <protection locked="0"/>
    </xf>
    <xf numFmtId="3" fontId="10" fillId="2" borderId="26" xfId="0" applyNumberFormat="1" applyFont="1" applyFill="1" applyBorder="1" applyProtection="1">
      <protection locked="0"/>
    </xf>
    <xf numFmtId="3" fontId="10" fillId="2" borderId="37" xfId="0" applyNumberFormat="1" applyFont="1" applyFill="1" applyBorder="1" applyProtection="1">
      <protection locked="0"/>
    </xf>
    <xf numFmtId="3" fontId="10" fillId="0" borderId="7" xfId="0" applyNumberFormat="1" applyFont="1" applyFill="1" applyBorder="1" applyProtection="1">
      <protection locked="0"/>
    </xf>
    <xf numFmtId="3" fontId="10" fillId="2" borderId="38" xfId="0" applyNumberFormat="1" applyFont="1" applyFill="1" applyBorder="1" applyProtection="1">
      <protection locked="0"/>
    </xf>
    <xf numFmtId="3" fontId="8" fillId="5" borderId="16" xfId="0" applyNumberFormat="1" applyFont="1" applyFill="1" applyBorder="1" applyProtection="1">
      <protection locked="0"/>
    </xf>
    <xf numFmtId="3" fontId="8" fillId="5" borderId="6" xfId="0" applyNumberFormat="1" applyFont="1" applyFill="1" applyBorder="1" applyProtection="1">
      <protection locked="0"/>
    </xf>
    <xf numFmtId="3" fontId="8" fillId="0" borderId="36" xfId="0" applyNumberFormat="1" applyFont="1" applyBorder="1" applyProtection="1">
      <protection locked="0"/>
    </xf>
    <xf numFmtId="3" fontId="8" fillId="0" borderId="16" xfId="0" applyNumberFormat="1" applyFont="1" applyBorder="1" applyProtection="1">
      <protection locked="0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8" fillId="0" borderId="39" xfId="0" applyFont="1" applyBorder="1"/>
    <xf numFmtId="0" fontId="8" fillId="0" borderId="31" xfId="0" applyFont="1" applyBorder="1"/>
    <xf numFmtId="0" fontId="10" fillId="2" borderId="16" xfId="0" applyFont="1" applyFill="1" applyBorder="1" applyProtection="1">
      <protection locked="0"/>
    </xf>
    <xf numFmtId="0" fontId="10" fillId="0" borderId="40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/>
    <xf numFmtId="1" fontId="3" fillId="4" borderId="7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2" applyFont="1" applyFill="1" applyAlignment="1" applyProtection="1"/>
    <xf numFmtId="0" fontId="19" fillId="0" borderId="0" xfId="2" applyFont="1" applyAlignment="1" applyProtection="1"/>
    <xf numFmtId="0" fontId="21" fillId="0" borderId="0" xfId="0" applyFont="1" applyFill="1" applyBorder="1" applyAlignment="1">
      <alignment horizontal="left" indent="2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6" fillId="0" borderId="0" xfId="0" applyFont="1" applyFill="1"/>
    <xf numFmtId="0" fontId="26" fillId="0" borderId="0" xfId="2" applyFont="1" applyFill="1" applyAlignment="1" applyProtection="1"/>
    <xf numFmtId="0" fontId="26" fillId="0" borderId="0" xfId="2" applyFont="1" applyFill="1" applyAlignment="1" applyProtection="1">
      <alignment horizontal="left" indent="2"/>
    </xf>
    <xf numFmtId="0" fontId="27" fillId="0" borderId="0" xfId="2" applyFont="1" applyFill="1" applyAlignment="1" applyProtection="1">
      <alignment horizontal="left" indent="2"/>
    </xf>
    <xf numFmtId="0" fontId="28" fillId="0" borderId="0" xfId="0" applyFont="1" applyAlignment="1">
      <alignment horizontal="left" indent="2"/>
    </xf>
    <xf numFmtId="0" fontId="25" fillId="0" borderId="0" xfId="0" applyFont="1" applyFill="1" applyBorder="1" applyAlignment="1">
      <alignment horizontal="left" indent="2"/>
    </xf>
    <xf numFmtId="0" fontId="26" fillId="0" borderId="0" xfId="0" applyFont="1" applyFill="1" applyAlignment="1">
      <alignment horizontal="left"/>
    </xf>
    <xf numFmtId="0" fontId="28" fillId="0" borderId="0" xfId="0" applyFont="1"/>
    <xf numFmtId="0" fontId="24" fillId="0" borderId="0" xfId="2" applyFont="1" applyFill="1" applyAlignment="1" applyProtection="1">
      <alignment horizontal="left" vertical="top"/>
    </xf>
    <xf numFmtId="0" fontId="24" fillId="0" borderId="0" xfId="2" applyFont="1" applyAlignment="1" applyProtection="1">
      <alignment horizontal="left" vertical="top"/>
    </xf>
    <xf numFmtId="0" fontId="24" fillId="0" borderId="0" xfId="2" applyFont="1" applyAlignment="1" applyProtection="1">
      <alignment horizontal="right" vertical="top"/>
    </xf>
    <xf numFmtId="0" fontId="26" fillId="0" borderId="0" xfId="2" applyFont="1" applyFill="1" applyAlignment="1" applyProtection="1">
      <alignment horizontal="left" vertical="top"/>
    </xf>
    <xf numFmtId="0" fontId="22" fillId="0" borderId="0" xfId="2" applyFont="1" applyAlignment="1" applyProtection="1">
      <alignment horizontal="right" vertical="center"/>
    </xf>
    <xf numFmtId="0" fontId="22" fillId="0" borderId="0" xfId="2" applyFont="1" applyFill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30" fillId="4" borderId="0" xfId="2" applyFont="1" applyFill="1" applyAlignment="1" applyProtection="1">
      <alignment horizontal="center" wrapText="1"/>
    </xf>
    <xf numFmtId="0" fontId="30" fillId="4" borderId="0" xfId="2" applyFont="1" applyFill="1" applyAlignment="1" applyProtection="1">
      <alignment horizontal="center" vertical="center" wrapText="1"/>
    </xf>
    <xf numFmtId="0" fontId="30" fillId="4" borderId="0" xfId="2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8" fontId="7" fillId="0" borderId="0" xfId="0" applyNumberFormat="1" applyFont="1" applyFill="1" applyBorder="1"/>
    <xf numFmtId="49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4" fillId="0" borderId="18" xfId="0" applyFont="1" applyBorder="1"/>
    <xf numFmtId="0" fontId="0" fillId="0" borderId="0" xfId="0" applyBorder="1" applyAlignment="1">
      <alignment horizontal="center"/>
    </xf>
    <xf numFmtId="170" fontId="10" fillId="0" borderId="5" xfId="0" applyNumberFormat="1" applyFont="1" applyBorder="1" applyAlignment="1">
      <alignment horizontal="center" vertical="top"/>
    </xf>
    <xf numFmtId="2" fontId="7" fillId="2" borderId="12" xfId="0" applyNumberFormat="1" applyFont="1" applyFill="1" applyBorder="1"/>
    <xf numFmtId="0" fontId="5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/>
    </xf>
    <xf numFmtId="171" fontId="1" fillId="0" borderId="0" xfId="0" applyNumberFormat="1" applyFont="1" applyAlignment="1">
      <alignment horizontal="center" vertical="top"/>
    </xf>
    <xf numFmtId="0" fontId="1" fillId="0" borderId="0" xfId="0" applyFont="1" applyBorder="1"/>
    <xf numFmtId="0" fontId="1" fillId="0" borderId="9" xfId="0" applyFont="1" applyBorder="1"/>
    <xf numFmtId="0" fontId="1" fillId="0" borderId="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3" fontId="1" fillId="0" borderId="0" xfId="0" applyNumberFormat="1" applyFont="1" applyFill="1" applyBorder="1" applyAlignment="1"/>
    <xf numFmtId="0" fontId="1" fillId="0" borderId="3" xfId="0" applyFont="1" applyBorder="1" applyAlignment="1" applyProtection="1">
      <alignment horizontal="center" wrapText="1"/>
    </xf>
    <xf numFmtId="3" fontId="1" fillId="0" borderId="15" xfId="0" applyNumberFormat="1" applyFont="1" applyFill="1" applyBorder="1" applyAlignment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3" fontId="1" fillId="3" borderId="5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164" fontId="1" fillId="0" borderId="0" xfId="0" applyNumberFormat="1" applyFont="1" applyBorder="1" applyProtection="1"/>
    <xf numFmtId="0" fontId="1" fillId="0" borderId="0" xfId="0" applyFont="1" applyBorder="1" applyProtection="1"/>
    <xf numFmtId="3" fontId="1" fillId="0" borderId="15" xfId="0" applyNumberFormat="1" applyFont="1" applyFill="1" applyBorder="1" applyAlignment="1" applyProtection="1"/>
    <xf numFmtId="3" fontId="1" fillId="0" borderId="25" xfId="0" applyNumberFormat="1" applyFont="1" applyFill="1" applyBorder="1" applyAlignment="1" applyProtection="1"/>
    <xf numFmtId="0" fontId="1" fillId="0" borderId="0" xfId="0" applyFont="1" applyProtection="1"/>
    <xf numFmtId="164" fontId="1" fillId="0" borderId="5" xfId="0" applyNumberFormat="1" applyFont="1" applyBorder="1" applyProtection="1"/>
    <xf numFmtId="3" fontId="1" fillId="0" borderId="0" xfId="0" applyNumberFormat="1" applyFont="1" applyFill="1" applyBorder="1" applyProtection="1"/>
    <xf numFmtId="4" fontId="1" fillId="3" borderId="0" xfId="0" applyNumberFormat="1" applyFont="1" applyFill="1" applyBorder="1" applyProtection="1"/>
    <xf numFmtId="9" fontId="1" fillId="0" borderId="0" xfId="0" applyNumberFormat="1" applyFont="1" applyFill="1" applyBorder="1" applyProtection="1"/>
    <xf numFmtId="10" fontId="1" fillId="0" borderId="0" xfId="1" applyNumberFormat="1" applyFont="1" applyFill="1" applyBorder="1" applyProtection="1"/>
    <xf numFmtId="9" fontId="1" fillId="0" borderId="0" xfId="0" applyNumberFormat="1" applyFont="1" applyBorder="1" applyProtection="1"/>
    <xf numFmtId="10" fontId="1" fillId="0" borderId="0" xfId="1" applyNumberFormat="1" applyFont="1" applyBorder="1" applyProtection="1"/>
    <xf numFmtId="0" fontId="1" fillId="0" borderId="0" xfId="0" applyFont="1" applyBorder="1" applyAlignment="1" applyProtection="1">
      <alignment horizontal="left"/>
    </xf>
    <xf numFmtId="167" fontId="1" fillId="0" borderId="0" xfId="0" applyNumberFormat="1" applyFont="1" applyFill="1" applyBorder="1" applyProtection="1"/>
    <xf numFmtId="0" fontId="1" fillId="0" borderId="0" xfId="0" applyFont="1" applyBorder="1" applyAlignment="1" applyProtection="1"/>
    <xf numFmtId="10" fontId="1" fillId="0" borderId="0" xfId="0" applyNumberFormat="1" applyFont="1" applyFill="1" applyBorder="1" applyProtection="1"/>
    <xf numFmtId="0" fontId="1" fillId="0" borderId="0" xfId="0" applyFont="1" applyBorder="1" applyAlignment="1">
      <alignment horizontal="left"/>
    </xf>
    <xf numFmtId="0" fontId="1" fillId="0" borderId="5" xfId="0" applyFont="1" applyBorder="1"/>
    <xf numFmtId="3" fontId="1" fillId="0" borderId="25" xfId="0" applyNumberFormat="1" applyFont="1" applyFill="1" applyBorder="1" applyAlignment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0" xfId="0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3" fontId="1" fillId="0" borderId="0" xfId="0" applyNumberFormat="1" applyFont="1" applyFill="1" applyBorder="1" applyAlignment="1" applyProtection="1">
      <alignment horizontal="center"/>
    </xf>
    <xf numFmtId="3" fontId="1" fillId="0" borderId="3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/>
    <xf numFmtId="0" fontId="1" fillId="0" borderId="0" xfId="0" applyFont="1" applyFill="1" applyProtection="1"/>
    <xf numFmtId="164" fontId="1" fillId="0" borderId="5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9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1" fillId="0" borderId="10" xfId="0" applyFont="1" applyBorder="1" applyAlignment="1"/>
    <xf numFmtId="0" fontId="8" fillId="0" borderId="7" xfId="0" applyFont="1" applyBorder="1" applyAlignment="1">
      <alignment horizontal="center"/>
    </xf>
    <xf numFmtId="0" fontId="1" fillId="0" borderId="5" xfId="0" applyFont="1" applyBorder="1" applyAlignment="1"/>
    <xf numFmtId="3" fontId="8" fillId="0" borderId="5" xfId="0" applyNumberFormat="1" applyFont="1" applyFill="1" applyBorder="1" applyAlignment="1" applyProtection="1">
      <alignment horizontal="center"/>
    </xf>
    <xf numFmtId="0" fontId="30" fillId="0" borderId="0" xfId="2" applyFont="1" applyAlignment="1" applyProtection="1">
      <alignment wrapText="1"/>
    </xf>
    <xf numFmtId="0" fontId="8" fillId="0" borderId="5" xfId="0" applyFont="1" applyFill="1" applyBorder="1" applyAlignment="1" applyProtection="1">
      <alignment horizontal="left"/>
    </xf>
    <xf numFmtId="164" fontId="1" fillId="0" borderId="15" xfId="0" applyNumberFormat="1" applyFont="1" applyFill="1" applyBorder="1" applyProtection="1"/>
    <xf numFmtId="0" fontId="8" fillId="0" borderId="5" xfId="0" applyFont="1" applyFill="1" applyBorder="1" applyAlignment="1" applyProtection="1">
      <alignment horizontal="center"/>
    </xf>
    <xf numFmtId="3" fontId="1" fillId="0" borderId="26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Border="1" applyAlignment="1" applyProtection="1">
      <alignment horizontal="center"/>
    </xf>
    <xf numFmtId="18" fontId="1" fillId="0" borderId="3" xfId="0" applyNumberFormat="1" applyFont="1" applyFill="1" applyBorder="1" applyAlignment="1" applyProtection="1">
      <alignment horizontal="center"/>
    </xf>
    <xf numFmtId="0" fontId="32" fillId="0" borderId="41" xfId="3" applyFont="1" applyFill="1" applyBorder="1" applyAlignment="1">
      <alignment wrapText="1"/>
    </xf>
    <xf numFmtId="7" fontId="32" fillId="0" borderId="41" xfId="3" applyNumberFormat="1" applyFont="1" applyFill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29" fillId="0" borderId="0" xfId="0" applyFont="1" applyFill="1" applyAlignment="1">
      <alignment horizontal="left" vertical="top"/>
    </xf>
    <xf numFmtId="0" fontId="30" fillId="0" borderId="9" xfId="2" applyFont="1" applyBorder="1" applyAlignment="1" applyProtection="1">
      <alignment horizontal="center" wrapText="1"/>
    </xf>
    <xf numFmtId="0" fontId="1" fillId="0" borderId="9" xfId="0" applyFont="1" applyBorder="1" applyAlignment="1">
      <alignment horizontal="center" wrapText="1"/>
    </xf>
    <xf numFmtId="0" fontId="8" fillId="0" borderId="3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34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0" borderId="2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7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30" fillId="4" borderId="0" xfId="2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/>
    </xf>
    <xf numFmtId="0" fontId="0" fillId="0" borderId="9" xfId="0" applyBorder="1"/>
    <xf numFmtId="0" fontId="0" fillId="0" borderId="25" xfId="0" applyBorder="1"/>
    <xf numFmtId="0" fontId="4" fillId="0" borderId="11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1" fillId="0" borderId="2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5" xfId="0" applyFont="1" applyBorder="1" applyAlignment="1" applyProtection="1">
      <alignment horizontal="center"/>
    </xf>
  </cellXfs>
  <cellStyles count="4">
    <cellStyle name="Link" xfId="2" builtinId="8"/>
    <cellStyle name="Prozent" xfId="1" builtinId="5"/>
    <cellStyle name="Standard" xfId="0" builtinId="0"/>
    <cellStyle name="Standard_Personalhauptkost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87</xdr:row>
      <xdr:rowOff>0</xdr:rowOff>
    </xdr:from>
    <xdr:to>
      <xdr:col>5</xdr:col>
      <xdr:colOff>857250</xdr:colOff>
      <xdr:row>104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20050125"/>
          <a:ext cx="5562600" cy="3533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87</xdr:row>
      <xdr:rowOff>0</xdr:rowOff>
    </xdr:from>
    <xdr:to>
      <xdr:col>5</xdr:col>
      <xdr:colOff>857250</xdr:colOff>
      <xdr:row>104</xdr:row>
      <xdr:rowOff>133350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0" y="16630650"/>
          <a:ext cx="581025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89</xdr:row>
      <xdr:rowOff>0</xdr:rowOff>
    </xdr:from>
    <xdr:to>
      <xdr:col>5</xdr:col>
      <xdr:colOff>857250</xdr:colOff>
      <xdr:row>106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100" y="18030825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100" y="178308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8100" y="178308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100" y="178308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8100" y="181737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8100" y="181737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8100" y="181737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88</xdr:row>
      <xdr:rowOff>0</xdr:rowOff>
    </xdr:from>
    <xdr:to>
      <xdr:col>5</xdr:col>
      <xdr:colOff>857250</xdr:colOff>
      <xdr:row>105</xdr:row>
      <xdr:rowOff>133350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8100" y="18173700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95</xdr:row>
      <xdr:rowOff>0</xdr:rowOff>
    </xdr:from>
    <xdr:to>
      <xdr:col>5</xdr:col>
      <xdr:colOff>857250</xdr:colOff>
      <xdr:row>112</xdr:row>
      <xdr:rowOff>133350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100" y="19227800"/>
          <a:ext cx="5784850" cy="283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95</xdr:row>
      <xdr:rowOff>0</xdr:rowOff>
    </xdr:from>
    <xdr:to>
      <xdr:col>5</xdr:col>
      <xdr:colOff>857250</xdr:colOff>
      <xdr:row>112</xdr:row>
      <xdr:rowOff>133350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8100" y="19227800"/>
          <a:ext cx="5784850" cy="283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96</xdr:row>
      <xdr:rowOff>0</xdr:rowOff>
    </xdr:from>
    <xdr:to>
      <xdr:col>5</xdr:col>
      <xdr:colOff>857250</xdr:colOff>
      <xdr:row>113</xdr:row>
      <xdr:rowOff>133350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100" y="20678775"/>
          <a:ext cx="5562600" cy="3371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96</xdr:row>
      <xdr:rowOff>0</xdr:rowOff>
    </xdr:from>
    <xdr:to>
      <xdr:col>5</xdr:col>
      <xdr:colOff>857250</xdr:colOff>
      <xdr:row>113</xdr:row>
      <xdr:rowOff>133350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100" y="20678775"/>
          <a:ext cx="5562600" cy="3371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f32-Persausgaben\5_Kosten\5_1_Mittelwerte\5_20_2022\2022-02-15_Plausi_M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 refreshError="1">
        <row r="3">
          <cell r="E3">
            <v>38099.832300000002</v>
          </cell>
        </row>
        <row r="4">
          <cell r="E4">
            <v>37193.648300000001</v>
          </cell>
        </row>
        <row r="5">
          <cell r="E5">
            <v>33021.574399999998</v>
          </cell>
        </row>
        <row r="6">
          <cell r="E6">
            <v>39999.811999999998</v>
          </cell>
        </row>
        <row r="7">
          <cell r="E7">
            <v>39592.659800000001</v>
          </cell>
        </row>
        <row r="8">
          <cell r="E8">
            <v>45156.303599999999</v>
          </cell>
        </row>
        <row r="9">
          <cell r="E9">
            <v>42134.599199999997</v>
          </cell>
        </row>
        <row r="10">
          <cell r="E10">
            <v>51412.965499999998</v>
          </cell>
        </row>
        <row r="11">
          <cell r="E11">
            <v>52776.133399999999</v>
          </cell>
        </row>
        <row r="12">
          <cell r="E12">
            <v>52437.962899999999</v>
          </cell>
        </row>
        <row r="13">
          <cell r="E13">
            <v>58442.465799999998</v>
          </cell>
        </row>
        <row r="14">
          <cell r="E14">
            <v>63132.818099999997</v>
          </cell>
        </row>
        <row r="16">
          <cell r="E16">
            <v>63824.088600000003</v>
          </cell>
        </row>
        <row r="17">
          <cell r="E17">
            <v>65919.925499999998</v>
          </cell>
        </row>
        <row r="18">
          <cell r="E18">
            <v>73098.877500000002</v>
          </cell>
        </row>
        <row r="19">
          <cell r="E19">
            <v>74082.963199999998</v>
          </cell>
        </row>
        <row r="20">
          <cell r="E20">
            <v>82975.008400000006</v>
          </cell>
        </row>
        <row r="21">
          <cell r="E21">
            <v>82778.085200000001</v>
          </cell>
        </row>
        <row r="22">
          <cell r="E22">
            <v>92898.773000000001</v>
          </cell>
        </row>
        <row r="23">
          <cell r="E23">
            <v>92937.339099999997</v>
          </cell>
        </row>
        <row r="24">
          <cell r="E24">
            <v>98953.9764</v>
          </cell>
        </row>
        <row r="25">
          <cell r="E25">
            <v>105343.1393</v>
          </cell>
        </row>
        <row r="26">
          <cell r="E26">
            <v>110139.3689</v>
          </cell>
        </row>
        <row r="28">
          <cell r="E28">
            <v>129880.34729999999</v>
          </cell>
        </row>
        <row r="29">
          <cell r="E29">
            <v>82436.688099999999</v>
          </cell>
        </row>
        <row r="30">
          <cell r="E30">
            <v>92085.413799999995</v>
          </cell>
        </row>
        <row r="31">
          <cell r="E31">
            <v>108606.9881</v>
          </cell>
        </row>
        <row r="32">
          <cell r="E32">
            <v>69912.515299999999</v>
          </cell>
        </row>
        <row r="33">
          <cell r="E33">
            <v>92754.839399999997</v>
          </cell>
        </row>
        <row r="34">
          <cell r="E34">
            <v>103475.10649999999</v>
          </cell>
        </row>
        <row r="35">
          <cell r="E35">
            <v>109982.75380000001</v>
          </cell>
        </row>
        <row r="37">
          <cell r="E37">
            <v>61497.393900000003</v>
          </cell>
        </row>
        <row r="38">
          <cell r="E38">
            <v>88303.079100000003</v>
          </cell>
        </row>
        <row r="39">
          <cell r="E39">
            <v>116334.07309999999</v>
          </cell>
        </row>
        <row r="40">
          <cell r="E40">
            <v>23498.267</v>
          </cell>
        </row>
        <row r="41">
          <cell r="E41">
            <v>17702.3177</v>
          </cell>
        </row>
        <row r="43">
          <cell r="E43">
            <v>19800.951000000001</v>
          </cell>
        </row>
        <row r="44">
          <cell r="E44">
            <v>20230.315600000002</v>
          </cell>
        </row>
        <row r="45">
          <cell r="E45">
            <v>18949.8135</v>
          </cell>
        </row>
        <row r="46">
          <cell r="E46">
            <v>29480.695299999999</v>
          </cell>
        </row>
        <row r="47">
          <cell r="E47">
            <v>29446.467799999999</v>
          </cell>
        </row>
        <row r="48">
          <cell r="E48">
            <v>26023.883399999999</v>
          </cell>
        </row>
        <row r="51">
          <cell r="E51">
            <v>34661.7765</v>
          </cell>
        </row>
        <row r="52">
          <cell r="E52">
            <v>41838.6538</v>
          </cell>
        </row>
        <row r="53">
          <cell r="E53">
            <v>44729.964999999997</v>
          </cell>
        </row>
        <row r="54">
          <cell r="E54">
            <v>46489.510600000001</v>
          </cell>
        </row>
        <row r="55">
          <cell r="E55">
            <v>49053.304900000003</v>
          </cell>
        </row>
        <row r="56">
          <cell r="E56">
            <v>52844.66</v>
          </cell>
        </row>
        <row r="57">
          <cell r="E57">
            <v>55572.724000000002</v>
          </cell>
        </row>
        <row r="58">
          <cell r="E58">
            <v>59094.711199999998</v>
          </cell>
        </row>
        <row r="59">
          <cell r="E59">
            <v>57198.167000000001</v>
          </cell>
        </row>
        <row r="60">
          <cell r="E60">
            <v>64138.857400000001</v>
          </cell>
        </row>
        <row r="61">
          <cell r="E61">
            <v>67893.965400000001</v>
          </cell>
        </row>
        <row r="62">
          <cell r="E62">
            <v>70934.659599999999</v>
          </cell>
        </row>
        <row r="63">
          <cell r="E63">
            <v>75002.419299999994</v>
          </cell>
        </row>
        <row r="64">
          <cell r="E64">
            <v>80463.1587</v>
          </cell>
        </row>
        <row r="65">
          <cell r="E65">
            <v>89672.073699999994</v>
          </cell>
        </row>
        <row r="66">
          <cell r="E66">
            <v>91192.968299999993</v>
          </cell>
        </row>
        <row r="67">
          <cell r="E67">
            <v>101764.79029999999</v>
          </cell>
        </row>
        <row r="68">
          <cell r="E68">
            <v>112578.68889999999</v>
          </cell>
        </row>
        <row r="69">
          <cell r="E69">
            <v>119068.0254</v>
          </cell>
        </row>
        <row r="71">
          <cell r="E71">
            <v>49098.957499999997</v>
          </cell>
        </row>
        <row r="72">
          <cell r="E72">
            <v>56429.3658</v>
          </cell>
        </row>
        <row r="73">
          <cell r="E73">
            <v>58331.571300000003</v>
          </cell>
        </row>
        <row r="74">
          <cell r="E74">
            <v>63733.407500000001</v>
          </cell>
        </row>
        <row r="75">
          <cell r="E75">
            <v>65391.351300000002</v>
          </cell>
        </row>
        <row r="76">
          <cell r="E76">
            <v>73353.494500000001</v>
          </cell>
        </row>
        <row r="77">
          <cell r="E77">
            <v>71970.995299999995</v>
          </cell>
        </row>
        <row r="78">
          <cell r="E78">
            <v>70047.456600000005</v>
          </cell>
        </row>
        <row r="79">
          <cell r="E79">
            <v>76252.066500000001</v>
          </cell>
        </row>
        <row r="80">
          <cell r="E80">
            <v>78523.663700000005</v>
          </cell>
        </row>
        <row r="81">
          <cell r="E81">
            <v>84179.466400000005</v>
          </cell>
        </row>
        <row r="82">
          <cell r="E82">
            <v>96822.191900000005</v>
          </cell>
        </row>
        <row r="83">
          <cell r="E83">
            <v>52921.277900000001</v>
          </cell>
        </row>
        <row r="84">
          <cell r="E84">
            <v>56071.7382</v>
          </cell>
        </row>
        <row r="85">
          <cell r="E85">
            <v>67532.371199999994</v>
          </cell>
        </row>
        <row r="86">
          <cell r="E86">
            <v>66163.920499999993</v>
          </cell>
        </row>
        <row r="87">
          <cell r="E87">
            <v>74973.171499999997</v>
          </cell>
        </row>
        <row r="88">
          <cell r="E88">
            <v>67434.304300000003</v>
          </cell>
        </row>
        <row r="89">
          <cell r="E89">
            <v>73306.110400000005</v>
          </cell>
        </row>
        <row r="90">
          <cell r="E90">
            <v>79345.746400000004</v>
          </cell>
        </row>
        <row r="91">
          <cell r="E91">
            <v>84291.658599999995</v>
          </cell>
        </row>
        <row r="92">
          <cell r="E92">
            <v>43636.270199999999</v>
          </cell>
        </row>
        <row r="93">
          <cell r="E93">
            <v>41920.050600000002</v>
          </cell>
        </row>
        <row r="94">
          <cell r="E94">
            <v>45520.8577</v>
          </cell>
        </row>
        <row r="95">
          <cell r="E95">
            <v>51073.9781</v>
          </cell>
        </row>
        <row r="96">
          <cell r="E96">
            <v>52787.9637</v>
          </cell>
        </row>
        <row r="97">
          <cell r="E97">
            <v>53013.426899999999</v>
          </cell>
        </row>
        <row r="98">
          <cell r="E98">
            <v>56526.564400000003</v>
          </cell>
        </row>
        <row r="99">
          <cell r="E99">
            <v>61161.603799999997</v>
          </cell>
        </row>
        <row r="100">
          <cell r="E100">
            <v>64155.518199999999</v>
          </cell>
        </row>
        <row r="101">
          <cell r="E101">
            <v>71458.661300000007</v>
          </cell>
        </row>
        <row r="102">
          <cell r="E102">
            <v>76924.456300000005</v>
          </cell>
        </row>
        <row r="103">
          <cell r="E103">
            <v>85521.271699999998</v>
          </cell>
        </row>
        <row r="104">
          <cell r="E104">
            <v>83061.845100000006</v>
          </cell>
        </row>
        <row r="105">
          <cell r="E105">
            <v>74158.273100000006</v>
          </cell>
        </row>
        <row r="106">
          <cell r="E106">
            <v>100267.8723</v>
          </cell>
        </row>
        <row r="107">
          <cell r="E107">
            <v>97090.888300000006</v>
          </cell>
        </row>
        <row r="108">
          <cell r="E108">
            <v>90826.852599999998</v>
          </cell>
        </row>
        <row r="109">
          <cell r="E109">
            <v>102699.7809</v>
          </cell>
        </row>
        <row r="110">
          <cell r="E110">
            <v>114698.92260000001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C5" sqref="C5"/>
    </sheetView>
  </sheetViews>
  <sheetFormatPr baseColWidth="10" defaultRowHeight="12.75"/>
  <cols>
    <col min="1" max="1" width="2.28515625" customWidth="1"/>
  </cols>
  <sheetData>
    <row r="2" spans="2:7" ht="26.25">
      <c r="B2" s="387" t="s">
        <v>337</v>
      </c>
      <c r="C2" s="387"/>
      <c r="D2" s="387"/>
      <c r="E2" s="387"/>
      <c r="F2" s="387"/>
      <c r="G2" s="387"/>
    </row>
    <row r="3" spans="2:7" ht="18">
      <c r="B3" s="284"/>
      <c r="C3" s="284"/>
      <c r="D3" s="284"/>
      <c r="E3" s="284"/>
      <c r="F3" s="285"/>
      <c r="G3" s="284"/>
    </row>
    <row r="4" spans="2:7" ht="20.25">
      <c r="B4" s="302" t="s">
        <v>352</v>
      </c>
      <c r="C4" s="291"/>
      <c r="D4" s="291"/>
      <c r="E4" s="292"/>
      <c r="F4" s="286"/>
      <c r="G4" s="287"/>
    </row>
    <row r="5" spans="2:7" ht="20.25">
      <c r="C5" s="300" t="s">
        <v>338</v>
      </c>
      <c r="D5" s="300"/>
      <c r="E5" s="296"/>
      <c r="F5" s="288"/>
      <c r="G5" s="288"/>
    </row>
    <row r="6" spans="2:7" ht="20.25">
      <c r="B6" s="293"/>
      <c r="C6" s="294"/>
      <c r="D6" s="295"/>
      <c r="E6" s="296"/>
      <c r="F6" s="288"/>
      <c r="G6" s="288"/>
    </row>
    <row r="7" spans="2:7" ht="20.25">
      <c r="B7" s="302" t="s">
        <v>339</v>
      </c>
      <c r="C7" s="294"/>
      <c r="D7" s="295"/>
      <c r="E7" s="296"/>
      <c r="F7" s="288"/>
      <c r="G7" s="288"/>
    </row>
    <row r="8" spans="2:7" ht="20.25">
      <c r="B8" s="303" t="s">
        <v>340</v>
      </c>
      <c r="C8" s="300" t="s">
        <v>341</v>
      </c>
      <c r="D8" s="300"/>
      <c r="E8" s="296"/>
      <c r="F8" s="288"/>
      <c r="G8" s="288"/>
    </row>
    <row r="9" spans="2:7" ht="20.25">
      <c r="B9" s="303" t="s">
        <v>342</v>
      </c>
      <c r="C9" s="300" t="s">
        <v>343</v>
      </c>
      <c r="D9" s="300"/>
      <c r="E9" s="296"/>
      <c r="F9" s="288"/>
      <c r="G9" s="288"/>
    </row>
    <row r="10" spans="2:7" ht="20.25">
      <c r="B10" s="304" t="s">
        <v>344</v>
      </c>
      <c r="C10" s="299" t="s">
        <v>346</v>
      </c>
      <c r="D10" s="299"/>
      <c r="E10" s="297"/>
      <c r="F10" s="289"/>
      <c r="G10" s="290"/>
    </row>
    <row r="11" spans="2:7" ht="20.25">
      <c r="B11" s="304" t="s">
        <v>345</v>
      </c>
      <c r="C11" s="299" t="s">
        <v>347</v>
      </c>
      <c r="D11" s="300"/>
      <c r="E11" s="298"/>
    </row>
    <row r="12" spans="2:7" ht="20.25">
      <c r="B12" s="305"/>
      <c r="C12" s="298"/>
      <c r="D12" s="298"/>
      <c r="E12" s="298"/>
    </row>
    <row r="13" spans="2:7" ht="20.25">
      <c r="B13" s="302" t="s">
        <v>348</v>
      </c>
      <c r="C13" s="298"/>
      <c r="D13" s="298"/>
      <c r="E13" s="298"/>
    </row>
    <row r="14" spans="2:7" ht="20.25">
      <c r="B14" s="304" t="s">
        <v>340</v>
      </c>
      <c r="C14" s="299" t="s">
        <v>349</v>
      </c>
      <c r="D14" s="300"/>
      <c r="E14" s="298"/>
    </row>
    <row r="15" spans="2:7" ht="20.25">
      <c r="B15" s="304" t="s">
        <v>342</v>
      </c>
      <c r="C15" s="299" t="s">
        <v>350</v>
      </c>
      <c r="D15" s="300"/>
      <c r="E15" s="298"/>
    </row>
    <row r="16" spans="2:7" ht="20.25">
      <c r="B16" s="304" t="s">
        <v>344</v>
      </c>
      <c r="C16" s="299" t="s">
        <v>351</v>
      </c>
      <c r="D16" s="300"/>
      <c r="E16" s="298"/>
    </row>
    <row r="17" spans="2:5" ht="20.25">
      <c r="B17" s="301"/>
      <c r="C17" s="300"/>
      <c r="D17" s="300"/>
      <c r="E17" s="296"/>
    </row>
  </sheetData>
  <mergeCells count="1">
    <mergeCell ref="B2:G2"/>
  </mergeCells>
  <hyperlinks>
    <hyperlink ref="B8:D8" location="Kostenvergleichsrechnung!A1" display="   1."/>
    <hyperlink ref="B9:D9" location="Rentabilitätsberechnung!A1" display="   2."/>
    <hyperlink ref="B10:D10" location="Barwertmethode!A1" display="   3."/>
    <hyperlink ref="B11:D11" location="'refinanzierte Beschäftigung'!A1" display="   4."/>
    <hyperlink ref="B14:E14" location="AbAufzinsfaktorGenerator!A1" display="   1."/>
    <hyperlink ref="B15:E15" location="Abzinstabelle!A1" display="   2."/>
    <hyperlink ref="B16:E16" location="Aufzinstabelle!A1" display="   3."/>
    <hyperlink ref="C5" location="Personalhauptkosten!A1" display="Personalhaupkosten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zoomScaleNormal="100" workbookViewId="0">
      <selection activeCell="H10" sqref="H10"/>
    </sheetView>
  </sheetViews>
  <sheetFormatPr baseColWidth="10" defaultRowHeight="12.75"/>
  <cols>
    <col min="1" max="1" width="14.5703125" customWidth="1"/>
    <col min="2" max="2" width="13.140625" customWidth="1"/>
    <col min="3" max="3" width="15.85546875" customWidth="1"/>
    <col min="4" max="4" width="13.140625" customWidth="1"/>
    <col min="5" max="5" width="14.42578125" customWidth="1"/>
    <col min="6" max="6" width="14.5703125" customWidth="1"/>
    <col min="7" max="7" width="14.42578125" customWidth="1"/>
  </cols>
  <sheetData>
    <row r="1" spans="1:8" ht="27.75" customHeight="1">
      <c r="A1" s="186" t="s">
        <v>355</v>
      </c>
      <c r="E1" s="306" t="s">
        <v>353</v>
      </c>
      <c r="F1" s="77" t="s">
        <v>276</v>
      </c>
    </row>
    <row r="2" spans="1:8" ht="23.45" customHeight="1">
      <c r="A2" s="162" t="s">
        <v>399</v>
      </c>
      <c r="B2" s="319"/>
      <c r="C2" s="319"/>
      <c r="D2" s="319"/>
      <c r="E2" s="319"/>
      <c r="F2" s="321">
        <v>44562</v>
      </c>
      <c r="G2" s="319"/>
    </row>
    <row r="3" spans="1:8" s="77" customFormat="1" ht="29.25" customHeight="1">
      <c r="A3" s="161" t="s">
        <v>212</v>
      </c>
      <c r="B3" s="163" t="s">
        <v>275</v>
      </c>
      <c r="C3" s="161" t="s">
        <v>212</v>
      </c>
      <c r="D3" s="163" t="s">
        <v>275</v>
      </c>
      <c r="E3" s="161" t="s">
        <v>212</v>
      </c>
      <c r="F3" s="163" t="s">
        <v>275</v>
      </c>
      <c r="G3" s="381"/>
    </row>
    <row r="4" spans="1:8" ht="21" customHeight="1">
      <c r="A4" s="164" t="s">
        <v>164</v>
      </c>
      <c r="B4" s="322"/>
      <c r="C4" s="322"/>
      <c r="D4" s="322"/>
      <c r="E4" s="323"/>
      <c r="F4" s="322"/>
      <c r="G4" s="319"/>
    </row>
    <row r="5" spans="1:8" ht="16.5" customHeight="1">
      <c r="A5" s="369" t="s">
        <v>165</v>
      </c>
      <c r="B5" s="370"/>
      <c r="C5" s="371" t="s">
        <v>166</v>
      </c>
      <c r="D5" s="370"/>
      <c r="E5" s="371" t="s">
        <v>167</v>
      </c>
      <c r="F5" s="372"/>
      <c r="G5" s="319"/>
    </row>
    <row r="6" spans="1:8">
      <c r="A6" s="324" t="s">
        <v>380</v>
      </c>
      <c r="B6" s="326">
        <f>[1]Tabelle1!$E$35</f>
        <v>109982.75380000001</v>
      </c>
      <c r="C6" s="325" t="s">
        <v>169</v>
      </c>
      <c r="D6" s="351">
        <f>[1]Tabelle1!$E$28</f>
        <v>129880.34729999999</v>
      </c>
      <c r="E6" s="324" t="s">
        <v>168</v>
      </c>
      <c r="F6" s="326">
        <f>[1]Tabelle1!$E$31</f>
        <v>108606.9881</v>
      </c>
      <c r="G6" s="319"/>
    </row>
    <row r="7" spans="1:8">
      <c r="A7" s="324" t="s">
        <v>173</v>
      </c>
      <c r="B7" s="326">
        <f>[1]Tabelle1!$E$34</f>
        <v>103475.10649999999</v>
      </c>
      <c r="C7" s="327" t="s">
        <v>172</v>
      </c>
      <c r="D7" s="328">
        <f>[1]Tabelle1!$E$26</f>
        <v>110139.3689</v>
      </c>
      <c r="E7" s="324" t="s">
        <v>170</v>
      </c>
      <c r="F7" s="326">
        <f>[1]Tabelle1!$E$30</f>
        <v>92085.413799999995</v>
      </c>
      <c r="G7" s="319"/>
    </row>
    <row r="8" spans="1:8" s="81" customFormat="1">
      <c r="A8" s="324" t="s">
        <v>175</v>
      </c>
      <c r="B8" s="326">
        <f>[1]Tabelle1!$E$33</f>
        <v>92754.839399999997</v>
      </c>
      <c r="C8" s="327" t="s">
        <v>174</v>
      </c>
      <c r="D8" s="328">
        <f>[1]Tabelle1!$E$25</f>
        <v>105343.1393</v>
      </c>
      <c r="E8" s="324" t="s">
        <v>171</v>
      </c>
      <c r="F8" s="326">
        <f>[1]Tabelle1!$E$29</f>
        <v>82436.688099999999</v>
      </c>
      <c r="G8" s="319"/>
    </row>
    <row r="9" spans="1:8" s="81" customFormat="1" ht="14.25" customHeight="1">
      <c r="A9" s="324" t="s">
        <v>177</v>
      </c>
      <c r="B9" s="326">
        <f>[1]Tabelle1!$E$32</f>
        <v>69912.515299999999</v>
      </c>
      <c r="C9" s="327" t="s">
        <v>176</v>
      </c>
      <c r="D9" s="328">
        <f>[1]Tabelle1!$E$24</f>
        <v>98953.9764</v>
      </c>
      <c r="E9" s="324"/>
      <c r="F9" s="326"/>
    </row>
    <row r="10" spans="1:8">
      <c r="E10" s="324"/>
      <c r="F10" s="326"/>
      <c r="G10" s="81"/>
    </row>
    <row r="11" spans="1:8" ht="25.5" customHeight="1">
      <c r="A11" s="369" t="s">
        <v>178</v>
      </c>
      <c r="B11" s="372"/>
      <c r="C11" s="369"/>
      <c r="D11" s="372"/>
      <c r="E11" s="369"/>
      <c r="F11" s="372"/>
      <c r="G11" s="319"/>
    </row>
    <row r="12" spans="1:8">
      <c r="A12" s="352" t="s">
        <v>385</v>
      </c>
      <c r="B12" s="328">
        <f>[1]Tabelle1!$E$23</f>
        <v>92937.339099999997</v>
      </c>
      <c r="C12" s="324" t="s">
        <v>180</v>
      </c>
      <c r="D12" s="328">
        <f>[1]Tabelle1!$E$16</f>
        <v>63824.088600000003</v>
      </c>
      <c r="E12" s="355" t="s">
        <v>181</v>
      </c>
      <c r="F12" s="326">
        <f>[1]Tabelle1!$E$8</f>
        <v>45156.303599999999</v>
      </c>
      <c r="G12" s="5"/>
    </row>
    <row r="13" spans="1:8">
      <c r="A13" s="324" t="s">
        <v>223</v>
      </c>
      <c r="B13" s="328">
        <f>[1]Tabelle1!$E$22</f>
        <v>92898.773000000001</v>
      </c>
      <c r="C13" s="355" t="s">
        <v>184</v>
      </c>
      <c r="D13" s="328">
        <f>[1]Tabelle1!$E$14</f>
        <v>63132.818099999997</v>
      </c>
      <c r="E13" s="324" t="s">
        <v>182</v>
      </c>
      <c r="F13" s="326">
        <f>[1]Tabelle1!$E$7</f>
        <v>39592.659800000001</v>
      </c>
      <c r="G13" s="5"/>
    </row>
    <row r="14" spans="1:8">
      <c r="A14" s="324" t="s">
        <v>183</v>
      </c>
      <c r="B14" s="328">
        <f>[1]Tabelle1!$E$21</f>
        <v>82778.085200000001</v>
      </c>
      <c r="C14" s="355" t="s">
        <v>185</v>
      </c>
      <c r="D14" s="328">
        <f>[1]Tabelle1!$E$13</f>
        <v>58442.465799999998</v>
      </c>
      <c r="E14" s="324" t="s">
        <v>247</v>
      </c>
      <c r="F14" s="326">
        <f>[1]Tabelle1!$E$6</f>
        <v>39999.811999999998</v>
      </c>
      <c r="G14" s="5"/>
      <c r="H14" s="5"/>
    </row>
    <row r="15" spans="1:8">
      <c r="A15" s="324" t="s">
        <v>224</v>
      </c>
      <c r="B15" s="328">
        <f>[1]Tabelle1!$E$20</f>
        <v>82975.008400000006</v>
      </c>
      <c r="C15" s="355" t="s">
        <v>386</v>
      </c>
      <c r="D15" s="328">
        <f>[1]Tabelle1!$E$12</f>
        <v>52437.962899999999</v>
      </c>
      <c r="E15" s="382" t="s">
        <v>186</v>
      </c>
      <c r="F15" s="326">
        <f>[1]Tabelle1!$E$5</f>
        <v>33021.574399999998</v>
      </c>
      <c r="G15" s="5"/>
    </row>
    <row r="16" spans="1:8">
      <c r="A16" s="324" t="s">
        <v>187</v>
      </c>
      <c r="B16" s="328">
        <f>[1]Tabelle1!$E$19</f>
        <v>74082.963199999998</v>
      </c>
      <c r="C16" s="355" t="s">
        <v>188</v>
      </c>
      <c r="D16" s="328">
        <f>[1]Tabelle1!$E$11</f>
        <v>52776.133399999999</v>
      </c>
      <c r="E16" s="324" t="s">
        <v>248</v>
      </c>
      <c r="F16" s="326">
        <f>[1]Tabelle1!$E$4</f>
        <v>37193.648300000001</v>
      </c>
      <c r="G16" s="5"/>
    </row>
    <row r="17" spans="1:7">
      <c r="A17" s="324" t="s">
        <v>225</v>
      </c>
      <c r="B17" s="328">
        <f>[1]Tabelle1!$E$18</f>
        <v>73098.877500000002</v>
      </c>
      <c r="C17" s="355" t="s">
        <v>189</v>
      </c>
      <c r="D17" s="328">
        <f>[1]Tabelle1!$E$10</f>
        <v>51412.965499999998</v>
      </c>
      <c r="E17" s="324" t="s">
        <v>251</v>
      </c>
      <c r="F17" s="326">
        <f>[1]Tabelle1!$E$3</f>
        <v>38099.832300000002</v>
      </c>
      <c r="G17" s="5"/>
    </row>
    <row r="18" spans="1:7">
      <c r="A18" s="324" t="s">
        <v>179</v>
      </c>
      <c r="B18" s="328">
        <f>[1]Tabelle1!$E$17</f>
        <v>65919.925499999998</v>
      </c>
      <c r="C18" s="355" t="s">
        <v>252</v>
      </c>
      <c r="D18" s="326">
        <f>[1]Tabelle1!$E$9</f>
        <v>42134.599199999997</v>
      </c>
      <c r="G18" s="5"/>
    </row>
    <row r="19" spans="1:7" ht="29.25" customHeight="1">
      <c r="A19" s="421" t="s">
        <v>190</v>
      </c>
      <c r="B19" s="379"/>
      <c r="C19" s="380"/>
      <c r="D19" s="364"/>
      <c r="E19" s="330"/>
      <c r="F19" s="331"/>
      <c r="G19" s="319"/>
    </row>
    <row r="20" spans="1:7">
      <c r="A20" s="352" t="s">
        <v>191</v>
      </c>
      <c r="B20" s="326">
        <f>[1]Tabelle1!$E$39</f>
        <v>116334.07309999999</v>
      </c>
      <c r="C20" s="357" t="s">
        <v>192</v>
      </c>
      <c r="D20" s="326">
        <f>[1]Tabelle1!$E$38</f>
        <v>88303.079100000003</v>
      </c>
      <c r="E20" s="357" t="s">
        <v>193</v>
      </c>
      <c r="F20" s="326">
        <f>[1]Tabelle1!$E$37</f>
        <v>61497.393900000003</v>
      </c>
      <c r="G20" s="319"/>
    </row>
    <row r="21" spans="1:7" ht="32.25" customHeight="1">
      <c r="A21" s="375" t="s">
        <v>194</v>
      </c>
      <c r="B21" s="380"/>
      <c r="C21" s="356"/>
      <c r="D21" s="356"/>
      <c r="E21" s="356"/>
      <c r="F21" s="356"/>
      <c r="G21" s="319"/>
    </row>
    <row r="22" spans="1:7">
      <c r="A22" s="352" t="s">
        <v>366</v>
      </c>
      <c r="B22" s="326">
        <f>[1]Tabelle1!$E$44</f>
        <v>20230.315600000002</v>
      </c>
      <c r="C22" s="354" t="s">
        <v>180</v>
      </c>
      <c r="D22" s="351">
        <f>[1]Tabelle1!$E$43</f>
        <v>19800.951000000001</v>
      </c>
      <c r="E22" s="352" t="s">
        <v>213</v>
      </c>
      <c r="F22" s="326">
        <f>[1]Tabelle1!$E$41</f>
        <v>17702.3177</v>
      </c>
      <c r="G22" s="319"/>
    </row>
    <row r="23" spans="1:7">
      <c r="A23" s="352" t="s">
        <v>226</v>
      </c>
      <c r="B23" s="326">
        <f>[1]Tabelle1!$E$40</f>
        <v>23498.267</v>
      </c>
      <c r="C23" s="357"/>
      <c r="D23" s="376"/>
      <c r="E23" s="352"/>
      <c r="F23" s="361"/>
      <c r="G23" s="319"/>
    </row>
    <row r="24" spans="1:7" ht="30" customHeight="1">
      <c r="A24" s="359" t="s">
        <v>227</v>
      </c>
      <c r="B24" s="352"/>
      <c r="C24" s="367"/>
      <c r="D24" s="367"/>
      <c r="E24" s="367"/>
      <c r="F24" s="367"/>
      <c r="G24" s="319"/>
    </row>
    <row r="25" spans="1:7" ht="17.45" customHeight="1">
      <c r="A25" s="377" t="s">
        <v>249</v>
      </c>
      <c r="B25" s="377"/>
      <c r="C25" s="377" t="s">
        <v>249</v>
      </c>
      <c r="D25" s="377"/>
      <c r="E25" s="377" t="s">
        <v>249</v>
      </c>
      <c r="F25" s="377"/>
      <c r="G25" s="319"/>
    </row>
    <row r="26" spans="1:7" ht="14.25" customHeight="1">
      <c r="A26" s="352" t="s">
        <v>228</v>
      </c>
      <c r="B26" s="326">
        <f>[1]Tabelle1!$E$110</f>
        <v>114698.92260000001</v>
      </c>
      <c r="C26" s="357">
        <v>12</v>
      </c>
      <c r="D26" s="351">
        <f>[1]Tabelle1!$E$103</f>
        <v>85521.271699999998</v>
      </c>
      <c r="E26" s="352">
        <v>6</v>
      </c>
      <c r="F26" s="326">
        <f>[1]Tabelle1!$E$96</f>
        <v>52787.9637</v>
      </c>
      <c r="G26" s="319"/>
    </row>
    <row r="27" spans="1:7" ht="12.75" customHeight="1">
      <c r="A27" s="352">
        <v>15</v>
      </c>
      <c r="B27" s="326">
        <f>[1]Tabelle1!$E$109</f>
        <v>102699.7809</v>
      </c>
      <c r="C27" s="357">
        <v>11</v>
      </c>
      <c r="D27" s="328">
        <f>[1]Tabelle1!$E$102</f>
        <v>76924.456300000005</v>
      </c>
      <c r="E27" s="352">
        <v>5</v>
      </c>
      <c r="F27" s="326">
        <f>[1]Tabelle1!$E$95</f>
        <v>51073.9781</v>
      </c>
      <c r="G27" s="319"/>
    </row>
    <row r="28" spans="1:7" ht="12.75" customHeight="1">
      <c r="A28" s="352">
        <v>14</v>
      </c>
      <c r="B28" s="326">
        <f>[1]Tabelle1!$E$108</f>
        <v>90826.852599999998</v>
      </c>
      <c r="C28" s="357">
        <v>10</v>
      </c>
      <c r="D28" s="328">
        <f>[1]Tabelle1!$E$101</f>
        <v>71458.661300000007</v>
      </c>
      <c r="E28" s="352">
        <v>4</v>
      </c>
      <c r="F28" s="326">
        <f>[1]Tabelle1!$E$94</f>
        <v>45520.8577</v>
      </c>
      <c r="G28" s="319"/>
    </row>
    <row r="29" spans="1:7" ht="12.75" customHeight="1">
      <c r="A29" s="352" t="s">
        <v>221</v>
      </c>
      <c r="B29" s="326">
        <f>[1]Tabelle1!$E$106</f>
        <v>100267.8723</v>
      </c>
      <c r="C29" s="383" t="s">
        <v>387</v>
      </c>
      <c r="D29" s="328">
        <f>[1]Tabelle1!$E$99</f>
        <v>61161.603799999997</v>
      </c>
      <c r="E29" s="352">
        <v>3</v>
      </c>
      <c r="F29" s="326">
        <f>[1]Tabelle1!$E$93</f>
        <v>41920.050600000002</v>
      </c>
      <c r="G29" s="319"/>
    </row>
    <row r="30" spans="1:7">
      <c r="A30" s="352" t="s">
        <v>222</v>
      </c>
      <c r="B30" s="326">
        <f>[1]Tabelle1!$E$107</f>
        <v>97090.888300000006</v>
      </c>
      <c r="C30" s="357" t="s">
        <v>388</v>
      </c>
      <c r="D30" s="328">
        <f>[1]Tabelle1!$E$100</f>
        <v>64155.518199999999</v>
      </c>
      <c r="E30" s="357">
        <v>2</v>
      </c>
      <c r="F30" s="326">
        <f>[1]Tabelle1!$E$92</f>
        <v>43636.270199999999</v>
      </c>
      <c r="G30" s="358"/>
    </row>
    <row r="31" spans="1:7" ht="12.75" customHeight="1">
      <c r="A31" s="352" t="s">
        <v>229</v>
      </c>
      <c r="B31" s="326">
        <f>[1]Tabelle1!$E$105</f>
        <v>74158.273100000006</v>
      </c>
      <c r="C31" s="357">
        <v>8</v>
      </c>
      <c r="D31" s="328">
        <f>[1]Tabelle1!$E$98</f>
        <v>56526.564400000003</v>
      </c>
      <c r="G31" s="358"/>
    </row>
    <row r="32" spans="1:7" ht="12.75" customHeight="1">
      <c r="A32" s="352">
        <v>13</v>
      </c>
      <c r="B32" s="326">
        <f>[1]Tabelle1!$E$104</f>
        <v>83061.845100000006</v>
      </c>
      <c r="C32" s="357">
        <v>7</v>
      </c>
      <c r="D32" s="328">
        <f>[1]Tabelle1!$E$97</f>
        <v>53013.426899999999</v>
      </c>
      <c r="E32" s="352"/>
      <c r="F32" s="332"/>
      <c r="G32" s="358"/>
    </row>
    <row r="33" spans="1:11" ht="12.75" customHeight="1">
      <c r="A33" s="352"/>
      <c r="B33" s="326"/>
      <c r="C33" s="352"/>
      <c r="D33" s="326"/>
      <c r="E33" s="352"/>
      <c r="F33" s="332"/>
      <c r="G33" s="358"/>
    </row>
    <row r="34" spans="1:11" ht="12.75" customHeight="1">
      <c r="A34" s="359" t="s">
        <v>389</v>
      </c>
      <c r="B34" s="352"/>
      <c r="C34" s="360"/>
      <c r="D34" s="361"/>
      <c r="E34" s="360"/>
      <c r="F34" s="361"/>
      <c r="G34" s="358"/>
    </row>
    <row r="35" spans="1:11" ht="12.75" customHeight="1">
      <c r="A35" s="373" t="s">
        <v>249</v>
      </c>
      <c r="B35" s="373"/>
      <c r="C35" s="373" t="s">
        <v>249</v>
      </c>
      <c r="D35" s="373"/>
      <c r="E35" s="373" t="s">
        <v>249</v>
      </c>
      <c r="F35" s="373"/>
      <c r="G35" s="358"/>
    </row>
    <row r="36" spans="1:11" ht="12.75" customHeight="1">
      <c r="A36" s="352">
        <v>19</v>
      </c>
      <c r="B36" s="326">
        <f>[1]Tabelle1!$E$91</f>
        <v>84291.658599999995</v>
      </c>
      <c r="C36" s="352">
        <v>14</v>
      </c>
      <c r="D36" s="326">
        <f>[1]Tabelle1!$E$88</f>
        <v>67434.304300000003</v>
      </c>
      <c r="E36" s="352" t="s">
        <v>390</v>
      </c>
      <c r="F36" s="326">
        <f>[1]Tabelle1!$E$85</f>
        <v>67532.371199999994</v>
      </c>
      <c r="G36" s="358"/>
    </row>
    <row r="37" spans="1:11" ht="12.75" customHeight="1">
      <c r="A37" s="352">
        <v>17</v>
      </c>
      <c r="B37" s="326">
        <f>[1]Tabelle1!$E$90</f>
        <v>79345.746400000004</v>
      </c>
      <c r="C37" s="352">
        <v>12</v>
      </c>
      <c r="D37" s="326">
        <f>[1]Tabelle1!$E$87</f>
        <v>74973.171499999997</v>
      </c>
      <c r="E37" s="352" t="s">
        <v>391</v>
      </c>
      <c r="F37" s="326">
        <f>[1]Tabelle1!$E$84</f>
        <v>56071.7382</v>
      </c>
      <c r="G37" s="358"/>
    </row>
    <row r="38" spans="1:11" ht="12.75" customHeight="1">
      <c r="A38" s="352">
        <v>15</v>
      </c>
      <c r="B38" s="326">
        <f>[1]Tabelle1!$E$89</f>
        <v>73306.110400000005</v>
      </c>
      <c r="C38" s="352" t="s">
        <v>392</v>
      </c>
      <c r="D38" s="326">
        <f>[1]Tabelle1!$E$86</f>
        <v>66163.920499999993</v>
      </c>
      <c r="E38" s="352" t="s">
        <v>393</v>
      </c>
      <c r="F38" s="326">
        <f>[1]Tabelle1!$E$83</f>
        <v>52921.277900000001</v>
      </c>
      <c r="G38" s="358"/>
    </row>
    <row r="39" spans="1:11" ht="12.75" customHeight="1">
      <c r="G39" s="358"/>
    </row>
    <row r="40" spans="1:11" ht="29.25" customHeight="1">
      <c r="A40" s="359" t="s">
        <v>394</v>
      </c>
      <c r="B40" s="352"/>
      <c r="C40" s="360"/>
      <c r="D40" s="361"/>
      <c r="E40" s="360"/>
      <c r="F40" s="361"/>
      <c r="G40" s="358"/>
      <c r="I40" s="384"/>
      <c r="J40" s="384"/>
      <c r="K40" s="385"/>
    </row>
    <row r="41" spans="1:11" ht="16.5" customHeight="1">
      <c r="A41" s="373" t="s">
        <v>249</v>
      </c>
      <c r="B41" s="373"/>
      <c r="C41" s="373" t="s">
        <v>249</v>
      </c>
      <c r="D41" s="373"/>
      <c r="E41" s="373" t="s">
        <v>249</v>
      </c>
      <c r="F41" s="373"/>
      <c r="G41" s="358"/>
      <c r="I41" s="384"/>
      <c r="J41" s="384"/>
      <c r="K41" s="385"/>
    </row>
    <row r="42" spans="1:11" ht="15">
      <c r="A42" s="362" t="s">
        <v>400</v>
      </c>
      <c r="B42" s="326">
        <f>[1]Tabelle1!$E$69</f>
        <v>119068.0254</v>
      </c>
      <c r="C42" s="363" t="s">
        <v>381</v>
      </c>
      <c r="D42" s="326">
        <f>[1]Tabelle1!$E$62</f>
        <v>70934.659599999999</v>
      </c>
      <c r="E42" s="362" t="s">
        <v>232</v>
      </c>
      <c r="F42" s="326">
        <f>[1]Tabelle1!$E$55</f>
        <v>49053.304900000003</v>
      </c>
      <c r="G42" s="358"/>
      <c r="I42" s="384"/>
      <c r="J42" s="384"/>
      <c r="K42" s="385"/>
    </row>
    <row r="43" spans="1:11" ht="15">
      <c r="A43" s="362" t="s">
        <v>231</v>
      </c>
      <c r="B43" s="326">
        <f>[1]Tabelle1!$E$68</f>
        <v>112578.68889999999</v>
      </c>
      <c r="C43" s="363" t="s">
        <v>382</v>
      </c>
      <c r="D43" s="328">
        <f>[1]Tabelle1!$E$61</f>
        <v>67893.965400000001</v>
      </c>
      <c r="E43" s="362" t="s">
        <v>235</v>
      </c>
      <c r="F43" s="326">
        <f>[1]Tabelle1!$E$54</f>
        <v>46489.510600000001</v>
      </c>
      <c r="G43" s="319"/>
      <c r="I43" s="384"/>
      <c r="J43" s="384"/>
      <c r="K43" s="385"/>
    </row>
    <row r="44" spans="1:11" ht="15">
      <c r="A44" s="362" t="s">
        <v>233</v>
      </c>
      <c r="B44" s="326">
        <f>[1]Tabelle1!$E$67</f>
        <v>101764.79029999999</v>
      </c>
      <c r="C44" s="363" t="s">
        <v>234</v>
      </c>
      <c r="D44" s="328">
        <f>[1]Tabelle1!$E$60</f>
        <v>64138.857400000001</v>
      </c>
      <c r="E44" s="362" t="s">
        <v>238</v>
      </c>
      <c r="F44" s="326">
        <f>[1]Tabelle1!$E$53</f>
        <v>44729.964999999997</v>
      </c>
      <c r="G44" s="319"/>
      <c r="I44" s="384"/>
      <c r="J44" s="384"/>
      <c r="K44" s="385"/>
    </row>
    <row r="45" spans="1:11" ht="15">
      <c r="A45" s="362" t="s">
        <v>236</v>
      </c>
      <c r="B45" s="326">
        <f>[1]Tabelle1!$E$66</f>
        <v>91192.968299999993</v>
      </c>
      <c r="C45" s="363" t="s">
        <v>237</v>
      </c>
      <c r="D45" s="328">
        <f>[1]Tabelle1!$E$59</f>
        <v>57198.167000000001</v>
      </c>
      <c r="E45" s="362" t="s">
        <v>241</v>
      </c>
      <c r="F45" s="326">
        <f>[1]Tabelle1!$E$52</f>
        <v>41838.6538</v>
      </c>
      <c r="G45" s="319"/>
      <c r="I45" s="384"/>
      <c r="J45" s="384"/>
      <c r="K45" s="385"/>
    </row>
    <row r="46" spans="1:11">
      <c r="A46" s="362" t="s">
        <v>239</v>
      </c>
      <c r="B46" s="326">
        <f>[1]Tabelle1!$E$65</f>
        <v>89672.073699999994</v>
      </c>
      <c r="C46" s="363" t="s">
        <v>240</v>
      </c>
      <c r="D46" s="328">
        <f>[1]Tabelle1!$E$58</f>
        <v>59094.711199999998</v>
      </c>
      <c r="E46" s="362" t="s">
        <v>244</v>
      </c>
      <c r="F46" s="326">
        <f>[1]Tabelle1!$E$51</f>
        <v>34661.7765</v>
      </c>
      <c r="G46" s="319"/>
    </row>
    <row r="47" spans="1:11">
      <c r="A47" s="362" t="s">
        <v>242</v>
      </c>
      <c r="B47" s="326">
        <f>[1]Tabelle1!$E$64</f>
        <v>80463.1587</v>
      </c>
      <c r="C47" s="363" t="s">
        <v>243</v>
      </c>
      <c r="D47" s="328">
        <f>[1]Tabelle1!$E$57</f>
        <v>55572.724000000002</v>
      </c>
      <c r="E47" s="358"/>
      <c r="F47" s="358"/>
      <c r="G47" s="319"/>
    </row>
    <row r="48" spans="1:11">
      <c r="A48" s="362" t="s">
        <v>245</v>
      </c>
      <c r="B48" s="326">
        <f>[1]Tabelle1!$E$63</f>
        <v>75002.419299999994</v>
      </c>
      <c r="C48" s="363" t="s">
        <v>230</v>
      </c>
      <c r="D48" s="328">
        <f>[1]Tabelle1!$E$56</f>
        <v>52844.66</v>
      </c>
      <c r="E48" s="362"/>
      <c r="F48" s="332"/>
      <c r="G48" s="319"/>
    </row>
    <row r="49" spans="1:7">
      <c r="A49" s="362"/>
      <c r="B49" s="332"/>
      <c r="C49" s="362"/>
      <c r="D49" s="332"/>
      <c r="E49" s="362"/>
      <c r="F49" s="332"/>
      <c r="G49" s="319"/>
    </row>
    <row r="50" spans="1:7">
      <c r="A50" s="362"/>
      <c r="B50" s="332"/>
      <c r="C50" s="362"/>
      <c r="D50" s="332"/>
      <c r="E50" s="362"/>
      <c r="F50" s="332"/>
      <c r="G50" s="319"/>
    </row>
    <row r="51" spans="1:7">
      <c r="A51" s="359" t="s">
        <v>395</v>
      </c>
      <c r="B51" s="352"/>
      <c r="C51" s="360"/>
      <c r="D51" s="361"/>
      <c r="E51" s="360"/>
      <c r="F51" s="361"/>
      <c r="G51" s="319"/>
    </row>
    <row r="52" spans="1:7" ht="14.25" customHeight="1">
      <c r="A52" s="373" t="s">
        <v>249</v>
      </c>
      <c r="B52" s="373"/>
      <c r="C52" s="373" t="s">
        <v>249</v>
      </c>
      <c r="D52" s="373"/>
      <c r="E52" s="373" t="s">
        <v>249</v>
      </c>
      <c r="F52" s="373"/>
      <c r="G52" s="319"/>
    </row>
    <row r="53" spans="1:7">
      <c r="A53" s="362" t="s">
        <v>368</v>
      </c>
      <c r="B53" s="326">
        <f>[1]Tabelle1!$E$82</f>
        <v>96822.191900000005</v>
      </c>
      <c r="C53" s="378" t="s">
        <v>372</v>
      </c>
      <c r="D53" s="351">
        <f>[1]Tabelle1!$E$77</f>
        <v>71970.995299999995</v>
      </c>
      <c r="E53" s="362" t="s">
        <v>373</v>
      </c>
      <c r="F53" s="326">
        <f>[1]Tabelle1!$E$72</f>
        <v>56429.3658</v>
      </c>
      <c r="G53" s="319"/>
    </row>
    <row r="54" spans="1:7">
      <c r="A54" s="362" t="s">
        <v>371</v>
      </c>
      <c r="B54" s="326">
        <f>[1]Tabelle1!$E$81</f>
        <v>84179.466400000005</v>
      </c>
      <c r="C54" s="363" t="s">
        <v>375</v>
      </c>
      <c r="D54" s="328">
        <f>[1]Tabelle1!$E$76</f>
        <v>73353.494500000001</v>
      </c>
      <c r="E54" s="362" t="s">
        <v>376</v>
      </c>
      <c r="F54" s="326">
        <f>[1]Tabelle1!$E$71</f>
        <v>49098.957499999997</v>
      </c>
      <c r="G54" s="319"/>
    </row>
    <row r="55" spans="1:7">
      <c r="A55" s="362" t="s">
        <v>374</v>
      </c>
      <c r="B55" s="326">
        <f>[1]Tabelle1!$E$80</f>
        <v>78523.663700000005</v>
      </c>
      <c r="C55" s="363" t="s">
        <v>378</v>
      </c>
      <c r="D55" s="328">
        <f>[1]Tabelle1!$E$75</f>
        <v>65391.351300000002</v>
      </c>
      <c r="E55" s="362"/>
      <c r="F55" s="326"/>
      <c r="G55" s="319"/>
    </row>
    <row r="56" spans="1:7">
      <c r="A56" s="362" t="s">
        <v>377</v>
      </c>
      <c r="B56" s="326">
        <f>[1]Tabelle1!$E$79</f>
        <v>76252.066500000001</v>
      </c>
      <c r="C56" s="363" t="s">
        <v>379</v>
      </c>
      <c r="D56" s="328">
        <f>[1]Tabelle1!$E$74</f>
        <v>63733.407500000001</v>
      </c>
      <c r="E56" s="358"/>
      <c r="F56" s="358"/>
      <c r="G56" s="319"/>
    </row>
    <row r="57" spans="1:7">
      <c r="A57" s="362" t="s">
        <v>369</v>
      </c>
      <c r="B57" s="326">
        <f>[1]Tabelle1!$E$78</f>
        <v>70047.456600000005</v>
      </c>
      <c r="C57" s="363" t="s">
        <v>370</v>
      </c>
      <c r="D57" s="328">
        <f>[1]Tabelle1!$E$73</f>
        <v>58331.571300000003</v>
      </c>
      <c r="E57" s="358"/>
      <c r="F57" s="358"/>
      <c r="G57" s="319"/>
    </row>
    <row r="58" spans="1:7">
      <c r="A58" s="362"/>
      <c r="B58" s="332"/>
      <c r="C58" s="362"/>
      <c r="D58" s="332"/>
      <c r="E58" s="362"/>
      <c r="F58" s="332"/>
      <c r="G58" s="319"/>
    </row>
    <row r="59" spans="1:7">
      <c r="A59" s="375" t="s">
        <v>396</v>
      </c>
      <c r="B59" s="364"/>
      <c r="C59" s="379"/>
      <c r="D59" s="364"/>
      <c r="E59" s="362"/>
      <c r="F59" s="332"/>
      <c r="G59" s="319"/>
    </row>
    <row r="60" spans="1:7">
      <c r="A60" s="362" t="s">
        <v>383</v>
      </c>
      <c r="B60" s="326">
        <f>[1]Tabelle1!$E$46</f>
        <v>29480.695299999999</v>
      </c>
      <c r="C60" s="378" t="s">
        <v>401</v>
      </c>
      <c r="D60" s="351">
        <f>[1]Tabelle1!$E$47</f>
        <v>29446.467799999999</v>
      </c>
      <c r="E60" s="378" t="s">
        <v>302</v>
      </c>
      <c r="F60" s="351">
        <f>[1]Tabelle1!$E$48</f>
        <v>26023.883399999999</v>
      </c>
      <c r="G60" s="319"/>
    </row>
    <row r="61" spans="1:7" ht="24.75" customHeight="1">
      <c r="A61" s="375" t="s">
        <v>397</v>
      </c>
      <c r="B61" s="380"/>
      <c r="C61" s="365"/>
      <c r="D61" s="365"/>
      <c r="E61" s="365"/>
      <c r="F61" s="365"/>
      <c r="G61" s="319"/>
    </row>
    <row r="62" spans="1:7">
      <c r="A62" s="352" t="s">
        <v>250</v>
      </c>
      <c r="B62" s="326">
        <f>[1]Tabelle1!$E$45</f>
        <v>18949.8135</v>
      </c>
      <c r="C62" s="352"/>
      <c r="D62" s="332"/>
      <c r="E62" s="365"/>
      <c r="F62" s="365"/>
    </row>
    <row r="63" spans="1:7" ht="21.75" customHeight="1">
      <c r="A63" s="191" t="s">
        <v>398</v>
      </c>
      <c r="B63" s="338"/>
      <c r="C63" s="330"/>
      <c r="D63" s="366"/>
      <c r="E63" s="337"/>
      <c r="F63" s="337"/>
    </row>
    <row r="64" spans="1:7" ht="42" customHeight="1">
      <c r="A64" s="388" t="s">
        <v>384</v>
      </c>
      <c r="B64" s="388"/>
      <c r="C64" s="388"/>
      <c r="D64" s="388"/>
      <c r="E64" s="374"/>
      <c r="F64" s="374"/>
    </row>
    <row r="65" spans="1:6" ht="31.5" customHeight="1">
      <c r="A65" s="168" t="s">
        <v>196</v>
      </c>
      <c r="B65" s="334"/>
      <c r="C65" s="334"/>
      <c r="D65" s="337"/>
      <c r="E65" s="337"/>
      <c r="F65" s="337"/>
    </row>
    <row r="66" spans="1:6" ht="20.25" customHeight="1">
      <c r="A66" s="169" t="s">
        <v>197</v>
      </c>
      <c r="B66" s="329"/>
      <c r="C66" s="329"/>
      <c r="D66" s="329"/>
      <c r="E66" s="337"/>
      <c r="F66" s="337"/>
    </row>
    <row r="67" spans="1:6" ht="16.350000000000001" customHeight="1">
      <c r="A67" s="324" t="s">
        <v>198</v>
      </c>
      <c r="B67" s="336">
        <v>2456</v>
      </c>
      <c r="C67" s="324" t="s">
        <v>215</v>
      </c>
      <c r="D67" s="339">
        <v>4</v>
      </c>
      <c r="E67" s="324"/>
      <c r="F67" s="340"/>
    </row>
    <row r="68" spans="1:6" ht="16.350000000000001" customHeight="1">
      <c r="A68" s="324" t="s">
        <v>199</v>
      </c>
      <c r="B68" s="335">
        <v>3781</v>
      </c>
      <c r="C68" s="324"/>
      <c r="D68" s="333"/>
      <c r="E68" s="324"/>
      <c r="F68" s="333"/>
    </row>
    <row r="69" spans="1:6" ht="16.350000000000001" customHeight="1">
      <c r="A69" s="324" t="s">
        <v>200</v>
      </c>
      <c r="B69" s="335">
        <v>84</v>
      </c>
      <c r="C69" s="324"/>
      <c r="D69" s="333"/>
      <c r="E69" s="324"/>
      <c r="F69" s="333"/>
    </row>
    <row r="70" spans="1:6">
      <c r="A70" s="324"/>
      <c r="B70" s="332"/>
      <c r="C70" s="324"/>
      <c r="D70" s="333"/>
      <c r="E70" s="324"/>
      <c r="F70" s="333"/>
    </row>
    <row r="71" spans="1:6">
      <c r="A71" s="170" t="s">
        <v>205</v>
      </c>
      <c r="B71" s="171" t="s">
        <v>206</v>
      </c>
      <c r="C71" s="172"/>
      <c r="D71" s="173"/>
      <c r="E71" s="172"/>
      <c r="F71" s="333"/>
    </row>
    <row r="72" spans="1:6">
      <c r="A72" s="170" t="s">
        <v>207</v>
      </c>
      <c r="B72" s="171" t="s">
        <v>208</v>
      </c>
      <c r="C72" s="172"/>
      <c r="D72" s="173"/>
      <c r="E72" s="172"/>
      <c r="F72" s="333"/>
    </row>
    <row r="73" spans="1:6">
      <c r="A73" s="170"/>
      <c r="B73" s="171" t="s">
        <v>209</v>
      </c>
      <c r="C73" s="172"/>
      <c r="D73" s="173"/>
      <c r="E73" s="172"/>
      <c r="F73" s="333"/>
    </row>
    <row r="74" spans="1:6">
      <c r="A74" s="170" t="s">
        <v>210</v>
      </c>
      <c r="B74" s="171" t="s">
        <v>211</v>
      </c>
      <c r="C74" s="172"/>
      <c r="D74" s="173"/>
      <c r="E74" s="172"/>
      <c r="F74" s="333"/>
    </row>
    <row r="75" spans="1:6">
      <c r="A75" s="171"/>
      <c r="B75" s="171" t="s">
        <v>209</v>
      </c>
      <c r="C75" s="172"/>
      <c r="D75" s="173"/>
      <c r="E75" s="172"/>
      <c r="F75" s="333"/>
    </row>
    <row r="76" spans="1:6" ht="16.350000000000001" customHeight="1">
      <c r="A76" s="324"/>
      <c r="B76" s="332"/>
      <c r="C76" s="324"/>
      <c r="D76" s="333"/>
      <c r="E76" s="324"/>
      <c r="F76" s="333"/>
    </row>
    <row r="77" spans="1:6" ht="22.5" customHeight="1">
      <c r="A77" s="169" t="s">
        <v>201</v>
      </c>
      <c r="B77" s="329"/>
      <c r="C77" s="329"/>
      <c r="D77" s="329"/>
      <c r="E77" s="337"/>
      <c r="F77" s="337"/>
    </row>
    <row r="78" spans="1:6" ht="19.350000000000001" customHeight="1">
      <c r="A78" s="324" t="s">
        <v>202</v>
      </c>
      <c r="B78" s="341">
        <v>0.3</v>
      </c>
      <c r="C78" s="352" t="s">
        <v>246</v>
      </c>
      <c r="D78" s="342">
        <v>0.1429</v>
      </c>
      <c r="E78" s="337"/>
      <c r="F78" s="337"/>
    </row>
    <row r="79" spans="1:6">
      <c r="A79" s="174" t="s">
        <v>214</v>
      </c>
      <c r="B79" s="343"/>
      <c r="C79" s="324"/>
      <c r="D79" s="344"/>
      <c r="E79" s="337"/>
      <c r="F79" s="337"/>
    </row>
    <row r="80" spans="1:6" ht="24.75" customHeight="1">
      <c r="A80" s="169" t="s">
        <v>203</v>
      </c>
      <c r="B80" s="329"/>
      <c r="C80" s="329"/>
      <c r="D80" s="329"/>
      <c r="E80" s="337"/>
      <c r="F80" s="337"/>
    </row>
    <row r="81" spans="1:6" ht="20.45" customHeight="1">
      <c r="A81" s="345" t="s">
        <v>215</v>
      </c>
      <c r="B81" s="346"/>
      <c r="C81" s="348">
        <v>6.1999999999999998E-3</v>
      </c>
      <c r="D81" s="346"/>
      <c r="E81" s="334"/>
      <c r="F81" s="337"/>
    </row>
    <row r="82" spans="1:6" ht="20.25" customHeight="1">
      <c r="A82" s="347" t="s">
        <v>204</v>
      </c>
      <c r="B82" s="348"/>
      <c r="C82" s="348">
        <v>8.9999999999999998E-4</v>
      </c>
      <c r="D82" s="367"/>
      <c r="E82" s="334"/>
      <c r="F82" s="337"/>
    </row>
    <row r="83" spans="1:6" ht="28.35" customHeight="1">
      <c r="A83" s="175" t="s">
        <v>303</v>
      </c>
      <c r="B83" s="329"/>
      <c r="C83" s="329"/>
      <c r="D83" s="337"/>
      <c r="E83" s="337"/>
      <c r="F83" s="337"/>
    </row>
    <row r="84" spans="1:6" ht="19.5" customHeight="1">
      <c r="A84" s="353" t="s">
        <v>367</v>
      </c>
      <c r="B84" s="368"/>
      <c r="C84" s="368"/>
      <c r="D84" s="368"/>
      <c r="E84" s="368"/>
      <c r="F84" s="368"/>
    </row>
    <row r="85" spans="1:6" ht="15.75" customHeight="1">
      <c r="A85" s="353" t="s">
        <v>402</v>
      </c>
    </row>
    <row r="86" spans="1:6" ht="15.75" customHeight="1">
      <c r="A86" s="349" t="s">
        <v>403</v>
      </c>
      <c r="B86" s="386"/>
      <c r="C86" s="386"/>
      <c r="D86" s="386"/>
      <c r="E86" s="386"/>
    </row>
    <row r="87" spans="1:6" ht="15.75" hidden="1" customHeight="1">
      <c r="A87" s="353" t="s">
        <v>404</v>
      </c>
      <c r="F87" s="386"/>
    </row>
    <row r="88" spans="1:6" ht="15.75" hidden="1" customHeight="1">
      <c r="A88" s="349"/>
      <c r="B88" s="207"/>
      <c r="C88" s="207"/>
      <c r="D88" s="207"/>
      <c r="E88" s="207"/>
      <c r="F88" s="207"/>
    </row>
    <row r="89" spans="1:6" ht="15.75" hidden="1" customHeight="1">
      <c r="A89" s="349"/>
      <c r="B89" s="207"/>
      <c r="C89" s="207"/>
      <c r="D89" s="207"/>
      <c r="E89" s="207"/>
      <c r="F89" s="207"/>
    </row>
    <row r="90" spans="1:6" ht="15.75" hidden="1" customHeight="1">
      <c r="A90" s="349"/>
      <c r="B90" s="207"/>
      <c r="C90" s="207"/>
      <c r="D90" s="207"/>
      <c r="E90" s="207"/>
      <c r="F90" s="207"/>
    </row>
    <row r="91" spans="1:6" ht="15.75" hidden="1" customHeight="1">
      <c r="A91" s="349"/>
      <c r="B91" s="207"/>
      <c r="C91" s="207"/>
      <c r="D91" s="207"/>
      <c r="E91" s="207"/>
      <c r="F91" s="207"/>
    </row>
    <row r="92" spans="1:6" ht="27.6" customHeight="1">
      <c r="A92" s="349"/>
      <c r="B92" s="207"/>
      <c r="C92" s="207"/>
      <c r="D92" s="207"/>
      <c r="E92" s="207"/>
      <c r="F92" s="207"/>
    </row>
    <row r="93" spans="1:6" ht="29.25" customHeight="1">
      <c r="A93" s="187" t="s">
        <v>304</v>
      </c>
      <c r="B93" s="350"/>
      <c r="C93" s="319"/>
      <c r="D93" s="319"/>
      <c r="E93" s="319"/>
      <c r="F93" s="319"/>
    </row>
    <row r="94" spans="1:6" ht="46.5" customHeight="1">
      <c r="A94" s="188"/>
    </row>
    <row r="95" spans="1:6">
      <c r="A95" s="389" t="s">
        <v>354</v>
      </c>
      <c r="B95" s="389"/>
      <c r="C95" s="389"/>
      <c r="D95" s="389"/>
      <c r="E95" s="389"/>
      <c r="F95" s="389"/>
    </row>
  </sheetData>
  <mergeCells count="2">
    <mergeCell ref="A64:D64"/>
    <mergeCell ref="A95:F95"/>
  </mergeCells>
  <phoneticPr fontId="0" type="noConversion"/>
  <hyperlinks>
    <hyperlink ref="E1" location="Inhalt!A1" display="zurück zum Inhalt"/>
  </hyperlinks>
  <pageMargins left="0.56999999999999995" right="0.19" top="0.22" bottom="0.2" header="0.16" footer="0.17"/>
  <pageSetup paperSize="9" scale="97" fitToHeight="2" orientation="portrait" r:id="rId1"/>
  <headerFooter alignWithMargins="0"/>
  <rowBreaks count="1" manualBreakCount="1">
    <brk id="5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Layout" zoomScaleNormal="100" workbookViewId="0">
      <selection activeCell="D21" sqref="D21"/>
    </sheetView>
  </sheetViews>
  <sheetFormatPr baseColWidth="10" defaultRowHeight="12.75"/>
  <cols>
    <col min="1" max="1" width="6" style="95" customWidth="1"/>
    <col min="2" max="2" width="44.28515625" style="95" customWidth="1"/>
    <col min="3" max="3" width="9.42578125" style="95" bestFit="1" customWidth="1"/>
    <col min="4" max="4" width="13.5703125" style="94" bestFit="1" customWidth="1"/>
    <col min="5" max="5" width="13.7109375" style="94" customWidth="1"/>
    <col min="6" max="6" width="13.5703125" style="94" bestFit="1" customWidth="1"/>
  </cols>
  <sheetData>
    <row r="1" spans="1:6" ht="32.25" customHeight="1">
      <c r="A1" s="201" t="s">
        <v>161</v>
      </c>
      <c r="B1" s="116"/>
      <c r="C1" s="116"/>
      <c r="D1" s="307" t="s">
        <v>353</v>
      </c>
      <c r="E1" s="204"/>
      <c r="F1" s="194" t="str">
        <f>Personalhauptkosten!F1</f>
        <v>Stand:</v>
      </c>
    </row>
    <row r="2" spans="1:6" ht="19.899999999999999" customHeight="1">
      <c r="A2" s="192"/>
      <c r="B2" s="189"/>
      <c r="C2" s="189"/>
      <c r="D2" s="205"/>
      <c r="E2" s="206"/>
      <c r="F2" s="196">
        <f>Personalhauptkosten!F2</f>
        <v>44562</v>
      </c>
    </row>
    <row r="3" spans="1:6" ht="22.15" customHeight="1">
      <c r="A3" s="98" t="s">
        <v>0</v>
      </c>
      <c r="B3" s="99"/>
      <c r="C3" s="99"/>
      <c r="D3" s="100"/>
      <c r="E3" s="101"/>
      <c r="F3" s="102" t="s">
        <v>1</v>
      </c>
    </row>
    <row r="4" spans="1:6" ht="18.600000000000001" customHeight="1">
      <c r="A4" s="98" t="s">
        <v>2</v>
      </c>
      <c r="B4" s="99"/>
      <c r="C4" s="103"/>
      <c r="D4" s="23" t="s">
        <v>3</v>
      </c>
      <c r="E4" s="23" t="s">
        <v>4</v>
      </c>
      <c r="F4" s="23" t="s">
        <v>5</v>
      </c>
    </row>
    <row r="5" spans="1:6" ht="20.4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195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D7*Personalhauptkosten!$B$69</f>
        <v>0</v>
      </c>
      <c r="E8" s="165">
        <f>E7*Personalhauptkosten!B69</f>
        <v>0</v>
      </c>
      <c r="F8" s="165">
        <f>F7*Personalhauptkosten!B69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D7*Personalhauptkosten!$C$73</f>
        <v>0</v>
      </c>
      <c r="E9" s="165">
        <f>E7*Personalhauptkosten!$C73</f>
        <v>0</v>
      </c>
      <c r="F9" s="165">
        <f>F7*Personalhauptkosten!$C73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255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D12*Personalhauptkosten!$D$69</f>
        <v>0</v>
      </c>
      <c r="E13" s="166">
        <f>E12*Personalhauptkosten!$D69</f>
        <v>0</v>
      </c>
      <c r="F13" s="166">
        <f>F12*Personalhauptkosten!$D69</f>
        <v>0</v>
      </c>
    </row>
    <row r="14" spans="1:6" ht="18" customHeight="1">
      <c r="A14" s="93" t="s">
        <v>22</v>
      </c>
      <c r="B14" s="79" t="s">
        <v>21</v>
      </c>
      <c r="C14" s="79"/>
      <c r="D14" s="167" t="e">
        <f>D12*Personalhauptkosten!$B$72</f>
        <v>#VALUE!</v>
      </c>
      <c r="E14" s="167" t="e">
        <f>E12*Personalhauptkosten!$B72</f>
        <v>#VALUE!</v>
      </c>
      <c r="F14" s="167" t="e">
        <f>F12*Personalhauptkosten!$B72</f>
        <v>#VALUE!</v>
      </c>
    </row>
    <row r="15" spans="1:6" ht="18" customHeight="1">
      <c r="A15" s="93" t="s">
        <v>216</v>
      </c>
      <c r="B15" s="79" t="s">
        <v>218</v>
      </c>
      <c r="C15" s="79"/>
      <c r="D15" s="113" t="e">
        <f>SUM(D12:D14)</f>
        <v>#VALUE!</v>
      </c>
      <c r="E15" s="113" t="e">
        <f>SUM(E12:E14)</f>
        <v>#VALUE!</v>
      </c>
      <c r="F15" s="113" t="e">
        <f>SUM(F12:F14)</f>
        <v>#VALUE!</v>
      </c>
    </row>
    <row r="16" spans="1:6" ht="20.45" customHeight="1">
      <c r="A16" s="106" t="s">
        <v>23</v>
      </c>
      <c r="B16" s="114" t="s">
        <v>256</v>
      </c>
      <c r="C16" s="85"/>
      <c r="D16" s="112"/>
      <c r="E16" s="112"/>
      <c r="F16" s="112"/>
    </row>
    <row r="17" spans="1:6" s="1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" customFormat="1" ht="18.600000000000001" customHeight="1">
      <c r="A18" s="118" t="s">
        <v>26</v>
      </c>
      <c r="B18" s="119" t="s">
        <v>27</v>
      </c>
      <c r="C18" s="119"/>
      <c r="D18" s="166">
        <f>D17*Personalhauptkosten!$D$69</f>
        <v>0</v>
      </c>
      <c r="E18" s="166">
        <f>E17*Personalhauptkosten!$D69</f>
        <v>0</v>
      </c>
      <c r="F18" s="166">
        <f>F17*Personalhauptkosten!$D69</f>
        <v>0</v>
      </c>
    </row>
    <row r="19" spans="1:6" s="1" customFormat="1" ht="18" customHeight="1">
      <c r="A19" s="118" t="s">
        <v>28</v>
      </c>
      <c r="B19" s="79" t="s">
        <v>21</v>
      </c>
      <c r="C19" s="119"/>
      <c r="D19" s="167" t="e">
        <f>D17*Personalhauptkosten!$B$72</f>
        <v>#VALUE!</v>
      </c>
      <c r="E19" s="167" t="e">
        <f>E17*Personalhauptkosten!$B72</f>
        <v>#VALUE!</v>
      </c>
      <c r="F19" s="167" t="e">
        <f>F17*Personalhauptkosten!$B72</f>
        <v>#VALUE!</v>
      </c>
    </row>
    <row r="20" spans="1:6" s="1" customFormat="1" ht="18.600000000000001" customHeight="1">
      <c r="A20" s="120" t="s">
        <v>93</v>
      </c>
      <c r="B20" s="97" t="s">
        <v>217</v>
      </c>
      <c r="C20" s="97"/>
      <c r="D20" s="121" t="e">
        <f>SUM(D17:D19)</f>
        <v>#VALUE!</v>
      </c>
      <c r="E20" s="121" t="e">
        <f>SUM(E17:E19)</f>
        <v>#VALUE!</v>
      </c>
      <c r="F20" s="121" t="e">
        <f>SUM(F17:F19)</f>
        <v>#VALUE!</v>
      </c>
    </row>
    <row r="21" spans="1:6" ht="18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20.25" customHeight="1" thickBot="1">
      <c r="A22" s="122" t="s">
        <v>30</v>
      </c>
      <c r="B22" s="56" t="s">
        <v>31</v>
      </c>
      <c r="C22" s="135"/>
      <c r="D22" s="125" t="e">
        <f>D10+D15+D20+D21</f>
        <v>#VALUE!</v>
      </c>
      <c r="E22" s="125" t="e">
        <f>E10+E15+E20+E21</f>
        <v>#VALUE!</v>
      </c>
      <c r="F22" s="125" t="e">
        <f>F10+F15+F20+F21</f>
        <v>#VALUE!</v>
      </c>
    </row>
    <row r="23" spans="1:6" s="95" customFormat="1" ht="15" customHeight="1" thickBot="1">
      <c r="A23" s="203" t="s">
        <v>287</v>
      </c>
      <c r="B23" s="137" t="s">
        <v>289</v>
      </c>
      <c r="C23" s="135"/>
      <c r="D23" s="149"/>
      <c r="E23" s="149"/>
      <c r="F23" s="149"/>
    </row>
    <row r="24" spans="1:6" s="95" customFormat="1" ht="15" customHeight="1" thickBot="1">
      <c r="A24" s="203" t="s">
        <v>288</v>
      </c>
      <c r="B24" s="137" t="s">
        <v>290</v>
      </c>
      <c r="C24" s="135"/>
      <c r="D24" s="149"/>
      <c r="E24" s="149"/>
      <c r="F24" s="149"/>
    </row>
    <row r="25" spans="1:6" ht="20.45" customHeight="1">
      <c r="A25" s="126" t="s">
        <v>32</v>
      </c>
      <c r="B25" s="84" t="s">
        <v>33</v>
      </c>
      <c r="C25" s="87"/>
      <c r="D25" s="112"/>
      <c r="E25" s="112"/>
      <c r="F25" s="112"/>
    </row>
    <row r="26" spans="1:6" ht="17.45" customHeight="1">
      <c r="A26" s="106" t="s">
        <v>34</v>
      </c>
      <c r="B26" s="79" t="s">
        <v>293</v>
      </c>
      <c r="C26" s="86"/>
      <c r="D26" s="112"/>
      <c r="E26" s="112"/>
      <c r="F26" s="112"/>
    </row>
    <row r="27" spans="1:6" ht="12" customHeight="1">
      <c r="A27" s="109" t="s">
        <v>35</v>
      </c>
      <c r="B27" s="86" t="s">
        <v>291</v>
      </c>
      <c r="C27" s="86"/>
      <c r="D27" s="127"/>
      <c r="E27" s="127"/>
      <c r="F27" s="127"/>
    </row>
    <row r="28" spans="1:6" ht="12.6" customHeight="1">
      <c r="A28" s="109" t="s">
        <v>36</v>
      </c>
      <c r="B28" s="86" t="s">
        <v>292</v>
      </c>
      <c r="C28" s="86"/>
      <c r="D28" s="127"/>
      <c r="E28" s="127"/>
      <c r="F28" s="127"/>
    </row>
    <row r="29" spans="1:6" ht="16.149999999999999" customHeight="1">
      <c r="A29" s="98" t="s">
        <v>38</v>
      </c>
      <c r="B29" s="80" t="s">
        <v>39</v>
      </c>
      <c r="C29" s="80"/>
      <c r="D29" s="111">
        <f>SUM(D27:D28)</f>
        <v>0</v>
      </c>
      <c r="E29" s="111">
        <f>SUM(E27:E28)</f>
        <v>0</v>
      </c>
      <c r="F29" s="111">
        <f>SUM(F27:F28)</f>
        <v>0</v>
      </c>
    </row>
    <row r="30" spans="1:6" ht="20.45" customHeight="1">
      <c r="A30" s="106" t="s">
        <v>40</v>
      </c>
      <c r="B30" s="107" t="s">
        <v>41</v>
      </c>
      <c r="C30" s="86"/>
      <c r="D30" s="112"/>
      <c r="E30" s="112"/>
      <c r="F30" s="112"/>
    </row>
    <row r="31" spans="1:6">
      <c r="A31" s="109" t="s">
        <v>42</v>
      </c>
      <c r="B31" s="86" t="s">
        <v>43</v>
      </c>
      <c r="C31" s="86"/>
      <c r="D31" s="127"/>
      <c r="E31" s="127"/>
      <c r="F31" s="127"/>
    </row>
    <row r="32" spans="1:6">
      <c r="A32" s="109" t="s">
        <v>44</v>
      </c>
      <c r="B32" s="86" t="s">
        <v>45</v>
      </c>
      <c r="C32" s="86"/>
      <c r="D32" s="127"/>
      <c r="E32" s="127"/>
      <c r="F32" s="127"/>
    </row>
    <row r="33" spans="1:6">
      <c r="A33" s="109" t="s">
        <v>46</v>
      </c>
      <c r="B33" s="86" t="s">
        <v>47</v>
      </c>
      <c r="C33" s="86"/>
      <c r="D33" s="127"/>
      <c r="E33" s="127"/>
      <c r="F33" s="127"/>
    </row>
    <row r="34" spans="1:6">
      <c r="A34" s="109" t="s">
        <v>48</v>
      </c>
      <c r="B34" s="86" t="s">
        <v>49</v>
      </c>
      <c r="C34" s="86"/>
      <c r="D34" s="127"/>
      <c r="E34" s="127"/>
      <c r="F34" s="127"/>
    </row>
    <row r="35" spans="1:6">
      <c r="A35" s="109" t="s">
        <v>50</v>
      </c>
      <c r="B35" s="86" t="s">
        <v>51</v>
      </c>
      <c r="C35" s="86"/>
      <c r="D35" s="127"/>
      <c r="E35" s="127"/>
      <c r="F35" s="127"/>
    </row>
    <row r="36" spans="1:6">
      <c r="A36" s="98" t="s">
        <v>52</v>
      </c>
      <c r="B36" s="80" t="s">
        <v>53</v>
      </c>
      <c r="C36" s="80"/>
      <c r="D36" s="111">
        <f>SUM(D31:D35)</f>
        <v>0</v>
      </c>
      <c r="E36" s="111">
        <f>SUM(E31:E35)</f>
        <v>0</v>
      </c>
      <c r="F36" s="111">
        <f>SUM(F31:F35)</f>
        <v>0</v>
      </c>
    </row>
    <row r="37" spans="1:6" ht="21.6" customHeight="1">
      <c r="A37" s="106" t="s">
        <v>54</v>
      </c>
      <c r="B37" s="107" t="s">
        <v>267</v>
      </c>
      <c r="C37" s="86"/>
      <c r="D37" s="112"/>
      <c r="E37" s="112"/>
      <c r="F37" s="112"/>
    </row>
    <row r="38" spans="1:6" ht="13.15" customHeight="1">
      <c r="A38" s="109" t="s">
        <v>55</v>
      </c>
      <c r="B38" s="86" t="s">
        <v>56</v>
      </c>
      <c r="C38" s="86"/>
      <c r="D38" s="127"/>
      <c r="E38" s="127"/>
      <c r="F38" s="127"/>
    </row>
    <row r="39" spans="1:6" ht="14.45" customHeight="1">
      <c r="A39" s="109" t="s">
        <v>57</v>
      </c>
      <c r="B39" s="86" t="s">
        <v>270</v>
      </c>
      <c r="C39" s="86"/>
      <c r="D39" s="127"/>
      <c r="E39" s="127"/>
      <c r="F39" s="127"/>
    </row>
    <row r="40" spans="1:6" ht="13.15" customHeight="1">
      <c r="A40" s="109" t="s">
        <v>58</v>
      </c>
      <c r="B40" s="86" t="s">
        <v>59</v>
      </c>
      <c r="C40" s="86"/>
      <c r="D40" s="127"/>
      <c r="E40" s="127"/>
      <c r="F40" s="127"/>
    </row>
    <row r="41" spans="1:6" ht="12" customHeight="1">
      <c r="A41" s="109" t="s">
        <v>60</v>
      </c>
      <c r="B41" s="86" t="s">
        <v>271</v>
      </c>
      <c r="C41" s="86"/>
      <c r="D41" s="127"/>
      <c r="E41" s="127"/>
      <c r="F41" s="127"/>
    </row>
    <row r="42" spans="1:6" ht="13.9" customHeight="1">
      <c r="A42" s="109" t="s">
        <v>61</v>
      </c>
      <c r="B42" s="86" t="s">
        <v>272</v>
      </c>
      <c r="C42" s="86"/>
      <c r="D42" s="127"/>
      <c r="E42" s="127"/>
      <c r="F42" s="127"/>
    </row>
    <row r="43" spans="1:6" ht="18" customHeight="1">
      <c r="A43" s="98" t="s">
        <v>62</v>
      </c>
      <c r="B43" s="80" t="s">
        <v>63</v>
      </c>
      <c r="C43" s="80"/>
      <c r="D43" s="111">
        <f>SUM(D38:D42)</f>
        <v>0</v>
      </c>
      <c r="E43" s="111">
        <f>SUM(E38:E42)</f>
        <v>0</v>
      </c>
      <c r="F43" s="111">
        <f>SUM(F38:F42)</f>
        <v>0</v>
      </c>
    </row>
    <row r="44" spans="1:6" ht="19.149999999999999" customHeight="1">
      <c r="A44" s="93"/>
      <c r="B44" s="79"/>
      <c r="C44" s="88" t="s">
        <v>64</v>
      </c>
      <c r="D44" s="113" t="e">
        <f>SUM(D22+D36+D43)</f>
        <v>#VALUE!</v>
      </c>
      <c r="E44" s="113" t="e">
        <f>SUM(E22+E36+E43)</f>
        <v>#VALUE!</v>
      </c>
      <c r="F44" s="113" t="e">
        <f>SUM(F22+F36+F43)</f>
        <v>#VALUE!</v>
      </c>
    </row>
    <row r="45" spans="1:6" s="95" customFormat="1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11" t="e">
        <f>D44</f>
        <v>#VALUE!</v>
      </c>
      <c r="E46" s="111" t="e">
        <f>E44</f>
        <v>#VALUE!</v>
      </c>
      <c r="F46" s="111" t="e">
        <f>F44</f>
        <v>#VALUE!</v>
      </c>
    </row>
    <row r="47" spans="1:6" ht="19.149999999999999" customHeight="1">
      <c r="A47" s="106" t="s">
        <v>65</v>
      </c>
      <c r="B47" s="107" t="s">
        <v>268</v>
      </c>
      <c r="C47" s="129"/>
      <c r="D47" s="112"/>
      <c r="E47" s="112"/>
      <c r="F47" s="112"/>
    </row>
    <row r="48" spans="1:6" ht="17.45" customHeight="1">
      <c r="A48" s="109" t="s">
        <v>66</v>
      </c>
      <c r="B48" s="130" t="s">
        <v>142</v>
      </c>
      <c r="C48" s="129"/>
      <c r="D48" s="110"/>
      <c r="E48" s="110"/>
      <c r="F48" s="110"/>
    </row>
    <row r="49" spans="1:6" ht="17.45" customHeight="1">
      <c r="A49" s="109" t="s">
        <v>67</v>
      </c>
      <c r="B49" s="86" t="s">
        <v>160</v>
      </c>
      <c r="C49" s="129"/>
      <c r="D49" s="110"/>
      <c r="E49" s="110"/>
      <c r="F49" s="110"/>
    </row>
    <row r="50" spans="1:6" ht="18" customHeight="1">
      <c r="A50" s="131" t="s">
        <v>68</v>
      </c>
      <c r="B50" s="90" t="s">
        <v>143</v>
      </c>
      <c r="C50" s="91"/>
      <c r="D50" s="132">
        <f>D48/2*D49</f>
        <v>0</v>
      </c>
      <c r="E50" s="132">
        <f>E48/2*E49</f>
        <v>0</v>
      </c>
      <c r="F50" s="132">
        <f>F48/2*F49</f>
        <v>0</v>
      </c>
    </row>
    <row r="51" spans="1:6" ht="18" customHeight="1">
      <c r="A51" s="104" t="s">
        <v>69</v>
      </c>
      <c r="B51" s="78" t="s">
        <v>269</v>
      </c>
      <c r="C51" s="128"/>
      <c r="D51" s="133"/>
      <c r="E51" s="133"/>
      <c r="F51" s="133"/>
    </row>
    <row r="52" spans="1:6" ht="19.149999999999999" customHeight="1">
      <c r="A52" s="106" t="s">
        <v>70</v>
      </c>
      <c r="B52" s="107" t="s">
        <v>71</v>
      </c>
      <c r="C52" s="129"/>
      <c r="D52" s="112"/>
      <c r="E52" s="112"/>
      <c r="F52" s="112"/>
    </row>
    <row r="53" spans="1:6" ht="15.6" customHeight="1">
      <c r="A53" s="109" t="s">
        <v>72</v>
      </c>
      <c r="B53" s="86" t="s">
        <v>73</v>
      </c>
      <c r="C53" s="129"/>
      <c r="D53" s="177"/>
      <c r="E53" s="177"/>
      <c r="F53" s="177"/>
    </row>
    <row r="54" spans="1:6" ht="15.6" customHeight="1">
      <c r="A54" s="109"/>
      <c r="B54" s="86" t="s">
        <v>262</v>
      </c>
      <c r="C54" s="129"/>
      <c r="D54" s="134"/>
      <c r="E54" s="134"/>
      <c r="F54" s="134"/>
    </row>
    <row r="55" spans="1:6" ht="15.6" customHeight="1">
      <c r="A55" s="109" t="s">
        <v>74</v>
      </c>
      <c r="B55" s="86" t="s">
        <v>75</v>
      </c>
      <c r="C55" s="129"/>
      <c r="D55" s="177"/>
      <c r="E55" s="177"/>
      <c r="F55" s="177"/>
    </row>
    <row r="56" spans="1:6" ht="16.149999999999999" customHeight="1">
      <c r="A56" s="109" t="s">
        <v>1</v>
      </c>
      <c r="B56" s="86" t="s">
        <v>264</v>
      </c>
      <c r="C56" s="129"/>
      <c r="D56" s="110"/>
      <c r="E56" s="110"/>
      <c r="F56" s="110"/>
    </row>
    <row r="57" spans="1:6" ht="17.45" customHeight="1" thickBot="1">
      <c r="A57" s="98" t="s">
        <v>76</v>
      </c>
      <c r="B57" s="80" t="s">
        <v>77</v>
      </c>
      <c r="C57" s="89"/>
      <c r="D57" s="111">
        <f>SUM(D54:D56)</f>
        <v>0</v>
      </c>
      <c r="E57" s="111">
        <f>SUM(E54:E56)</f>
        <v>0</v>
      </c>
      <c r="F57" s="111">
        <f>SUM(F54:F56)</f>
        <v>0</v>
      </c>
    </row>
    <row r="58" spans="1:6" ht="24.6" customHeight="1" thickBot="1">
      <c r="A58" s="122" t="s">
        <v>78</v>
      </c>
      <c r="B58" s="56" t="s">
        <v>79</v>
      </c>
      <c r="C58" s="135"/>
      <c r="D58" s="125" t="e">
        <f>SUM(D46+D50+D51+D57)</f>
        <v>#VALUE!</v>
      </c>
      <c r="E58" s="125" t="e">
        <f>SUM(E46+E50+E51+E57)</f>
        <v>#VALUE!</v>
      </c>
      <c r="F58" s="125" t="e">
        <f>SUM(F46+F50+F51+F57)</f>
        <v>#VALUE!</v>
      </c>
    </row>
    <row r="59" spans="1:6" s="95" customFormat="1" ht="24.6" customHeight="1" thickBot="1">
      <c r="A59" s="202" t="s">
        <v>106</v>
      </c>
      <c r="B59" s="56" t="s">
        <v>294</v>
      </c>
      <c r="C59" s="135"/>
      <c r="D59" s="148"/>
      <c r="E59" s="148"/>
      <c r="F59" s="148"/>
    </row>
    <row r="60" spans="1:6" s="95" customFormat="1" ht="15" customHeight="1" thickBot="1">
      <c r="A60" s="203" t="s">
        <v>107</v>
      </c>
      <c r="B60" s="137" t="s">
        <v>295</v>
      </c>
      <c r="C60" s="135"/>
      <c r="D60" s="153"/>
      <c r="E60" s="153"/>
      <c r="F60" s="153"/>
    </row>
    <row r="61" spans="1:6" s="95" customFormat="1" ht="15" customHeight="1" thickBot="1">
      <c r="A61" s="203" t="s">
        <v>108</v>
      </c>
      <c r="B61" s="137" t="s">
        <v>296</v>
      </c>
      <c r="C61" s="135"/>
      <c r="D61" s="153"/>
      <c r="E61" s="153"/>
      <c r="F61" s="153"/>
    </row>
    <row r="62" spans="1:6" s="95" customFormat="1" ht="15" customHeight="1" thickBot="1">
      <c r="A62" s="203" t="s">
        <v>298</v>
      </c>
      <c r="B62" s="137" t="s">
        <v>284</v>
      </c>
      <c r="C62" s="135"/>
      <c r="D62" s="153"/>
      <c r="E62" s="153"/>
      <c r="F62" s="153"/>
    </row>
    <row r="63" spans="1:6" s="95" customFormat="1" ht="24.6" customHeight="1" thickBot="1">
      <c r="A63" s="202" t="s">
        <v>119</v>
      </c>
      <c r="B63" s="56" t="s">
        <v>297</v>
      </c>
      <c r="C63" s="135"/>
      <c r="D63" s="148"/>
      <c r="E63" s="148"/>
      <c r="F63" s="148"/>
    </row>
    <row r="64" spans="1:6" s="95" customFormat="1" ht="15" customHeight="1" thickBot="1">
      <c r="A64" s="203" t="s">
        <v>121</v>
      </c>
      <c r="B64" s="137" t="s">
        <v>295</v>
      </c>
      <c r="C64" s="135"/>
      <c r="D64" s="153"/>
      <c r="E64" s="153"/>
      <c r="F64" s="153"/>
    </row>
    <row r="65" spans="1:6" s="95" customFormat="1" ht="15" customHeight="1" thickBot="1">
      <c r="A65" s="203" t="s">
        <v>122</v>
      </c>
      <c r="B65" s="137" t="s">
        <v>296</v>
      </c>
      <c r="C65" s="135"/>
      <c r="D65" s="153"/>
      <c r="E65" s="153"/>
      <c r="F65" s="153"/>
    </row>
    <row r="66" spans="1:6" s="95" customFormat="1" ht="15" customHeight="1" thickBot="1">
      <c r="A66" s="203" t="s">
        <v>123</v>
      </c>
      <c r="B66" s="137" t="s">
        <v>284</v>
      </c>
      <c r="C66" s="135"/>
      <c r="D66" s="153"/>
      <c r="E66" s="153"/>
      <c r="F66" s="153"/>
    </row>
    <row r="67" spans="1:6" s="95" customFormat="1" ht="24.6" customHeight="1" thickBot="1">
      <c r="A67" s="202" t="s">
        <v>279</v>
      </c>
      <c r="B67" s="56" t="s">
        <v>301</v>
      </c>
      <c r="C67" s="135"/>
      <c r="D67" s="148"/>
      <c r="E67" s="148"/>
      <c r="F67" s="148"/>
    </row>
    <row r="68" spans="1:6" s="95" customFormat="1" ht="15" customHeight="1" thickBot="1">
      <c r="A68" s="203" t="s">
        <v>280</v>
      </c>
      <c r="B68" s="137" t="s">
        <v>299</v>
      </c>
      <c r="C68" s="135"/>
      <c r="D68" s="148">
        <f>D23+D60+D61+D62</f>
        <v>0</v>
      </c>
      <c r="E68" s="148">
        <f>E23+E60+E61+E62</f>
        <v>0</v>
      </c>
      <c r="F68" s="148">
        <f>F23+F60+F61+F62</f>
        <v>0</v>
      </c>
    </row>
    <row r="69" spans="1:6" s="95" customFormat="1" ht="15" customHeight="1" thickBot="1">
      <c r="A69" s="203" t="s">
        <v>281</v>
      </c>
      <c r="B69" s="137" t="s">
        <v>300</v>
      </c>
      <c r="C69" s="135"/>
      <c r="D69" s="148">
        <f>D24+D64+D65+D66</f>
        <v>0</v>
      </c>
      <c r="E69" s="148">
        <f>E24+E64+E65+E66</f>
        <v>0</v>
      </c>
      <c r="F69" s="148">
        <f>F24+F64+F65+F66</f>
        <v>0</v>
      </c>
    </row>
    <row r="70" spans="1:6" ht="24.6" customHeight="1">
      <c r="A70" s="126" t="s">
        <v>80</v>
      </c>
      <c r="B70" s="88" t="s">
        <v>81</v>
      </c>
      <c r="C70" s="92"/>
      <c r="D70" s="136"/>
      <c r="E70" s="136"/>
      <c r="F70" s="136"/>
    </row>
    <row r="71" spans="1:6" ht="15" customHeight="1">
      <c r="A71" s="109" t="s">
        <v>82</v>
      </c>
      <c r="B71" s="86" t="s">
        <v>83</v>
      </c>
      <c r="C71" s="129"/>
      <c r="D71" s="127"/>
      <c r="E71" s="127"/>
      <c r="F71" s="127"/>
    </row>
    <row r="72" spans="1:6" ht="14.45" customHeight="1">
      <c r="A72" s="93" t="s">
        <v>84</v>
      </c>
      <c r="B72" s="79" t="s">
        <v>85</v>
      </c>
      <c r="C72" s="92"/>
      <c r="D72" s="127"/>
      <c r="E72" s="127"/>
      <c r="F72" s="127"/>
    </row>
    <row r="73" spans="1:6" ht="16.899999999999999" customHeight="1" thickBot="1">
      <c r="A73" s="98" t="s">
        <v>86</v>
      </c>
      <c r="B73" s="80" t="s">
        <v>87</v>
      </c>
      <c r="C73" s="80"/>
      <c r="D73" s="111">
        <f>SUM(D71:D72)</f>
        <v>0</v>
      </c>
      <c r="E73" s="111">
        <f>SUM(E71:E72)</f>
        <v>0</v>
      </c>
      <c r="F73" s="111">
        <f>SUM(F71:F72)</f>
        <v>0</v>
      </c>
    </row>
    <row r="74" spans="1:6" ht="23.45" customHeight="1" thickBot="1">
      <c r="A74" s="122" t="s">
        <v>88</v>
      </c>
      <c r="B74" s="56" t="s">
        <v>89</v>
      </c>
      <c r="C74" s="137"/>
      <c r="D74" s="125" t="e">
        <f>(D58-D73)</f>
        <v>#VALUE!</v>
      </c>
      <c r="E74" s="125" t="e">
        <f>(E58-E73)</f>
        <v>#VALUE!</v>
      </c>
      <c r="F74" s="125" t="e">
        <f>(F58-F73)</f>
        <v>#VALUE!</v>
      </c>
    </row>
    <row r="75" spans="1:6" ht="23.45" customHeight="1">
      <c r="A75" s="160" t="s">
        <v>90</v>
      </c>
      <c r="B75" s="55" t="s">
        <v>219</v>
      </c>
      <c r="C75" s="86"/>
      <c r="D75" s="138"/>
      <c r="E75" s="138"/>
      <c r="F75" s="138"/>
    </row>
    <row r="76" spans="1:6" ht="45" customHeight="1" thickBot="1">
      <c r="A76" s="390" t="s">
        <v>91</v>
      </c>
      <c r="B76" s="390"/>
      <c r="C76" s="390"/>
      <c r="D76" s="4" t="s">
        <v>156</v>
      </c>
      <c r="E76" s="4" t="s">
        <v>156</v>
      </c>
      <c r="F76" s="4" t="s">
        <v>156</v>
      </c>
    </row>
    <row r="77" spans="1:6" ht="26.45" customHeight="1" thickBot="1">
      <c r="A77" s="139" t="s">
        <v>92</v>
      </c>
      <c r="B77" s="56" t="s">
        <v>155</v>
      </c>
      <c r="C77" s="137"/>
      <c r="D77" s="140">
        <v>0</v>
      </c>
      <c r="E77" s="140">
        <v>0</v>
      </c>
      <c r="F77" s="140">
        <v>0</v>
      </c>
    </row>
    <row r="78" spans="1:6" ht="26.45" customHeight="1" thickBot="1">
      <c r="A78" s="139"/>
      <c r="B78" s="56" t="s">
        <v>157</v>
      </c>
      <c r="C78" s="137"/>
      <c r="D78" s="141"/>
      <c r="E78" s="141"/>
      <c r="F78" s="141"/>
    </row>
    <row r="80" spans="1:6" ht="24" customHeight="1">
      <c r="A80" s="55" t="s">
        <v>158</v>
      </c>
    </row>
    <row r="81" ht="20.45" customHeight="1"/>
  </sheetData>
  <customSheetViews>
    <customSheetView guid="{1CC00BDA-F26F-4B2F-9920-976F9DA01936}" showRuler="0" topLeftCell="A44">
      <selection activeCell="E60" sqref="E60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1">
    <mergeCell ref="A76:C76"/>
  </mergeCells>
  <phoneticPr fontId="0" type="noConversion"/>
  <hyperlinks>
    <hyperlink ref="D1" location="Inhalt!A1" display="zurück zum Inhalt"/>
  </hyperlinks>
  <pageMargins left="0.22" right="0.22" top="0.33" bottom="0.24" header="0.17" footer="0.17"/>
  <pageSetup paperSize="9" orientation="portrait" horizontalDpi="300" verticalDpi="300" r:id="rId2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Layout" zoomScaleNormal="100" workbookViewId="0">
      <selection activeCell="F7" sqref="F7"/>
    </sheetView>
  </sheetViews>
  <sheetFormatPr baseColWidth="10" defaultColWidth="11.42578125" defaultRowHeight="11.25"/>
  <cols>
    <col min="1" max="1" width="5.42578125" style="95" customWidth="1"/>
    <col min="2" max="2" width="45.7109375" style="95" bestFit="1" customWidth="1"/>
    <col min="3" max="3" width="8.85546875" style="95" customWidth="1"/>
    <col min="4" max="6" width="11.7109375" style="95" customWidth="1"/>
    <col min="7" max="16384" width="11.42578125" style="95"/>
  </cols>
  <sheetData>
    <row r="1" spans="1:6" ht="31.5" customHeight="1">
      <c r="A1" s="201" t="s">
        <v>162</v>
      </c>
      <c r="B1" s="116"/>
      <c r="C1" s="116"/>
      <c r="D1" s="307" t="s">
        <v>353</v>
      </c>
      <c r="E1" s="90"/>
      <c r="F1" s="194" t="str">
        <f>Personalhauptkosten!F1</f>
        <v>Stand:</v>
      </c>
    </row>
    <row r="2" spans="1:6" ht="12.75" customHeight="1">
      <c r="A2" s="192"/>
      <c r="B2" s="189"/>
      <c r="C2" s="189"/>
      <c r="D2" s="189"/>
      <c r="E2" s="79"/>
      <c r="F2" s="196">
        <f>Personalhauptkosten!F2</f>
        <v>44562</v>
      </c>
    </row>
    <row r="3" spans="1:6" ht="18" customHeight="1">
      <c r="A3" s="104" t="s">
        <v>0</v>
      </c>
      <c r="B3" s="99"/>
      <c r="C3" s="99"/>
      <c r="D3" s="142"/>
      <c r="E3" s="143"/>
      <c r="F3" s="144" t="s">
        <v>1</v>
      </c>
    </row>
    <row r="4" spans="1:6" ht="15.75" customHeight="1">
      <c r="A4" s="104" t="s">
        <v>2</v>
      </c>
      <c r="B4" s="99"/>
      <c r="C4" s="103"/>
      <c r="D4" s="76" t="s">
        <v>3</v>
      </c>
      <c r="E4" s="76" t="s">
        <v>4</v>
      </c>
      <c r="F4" s="76" t="s">
        <v>5</v>
      </c>
    </row>
    <row r="5" spans="1:6" ht="17.2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257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D7*Personalhauptkosten!B69</f>
        <v>0</v>
      </c>
      <c r="E8" s="165">
        <f>E7*Personalhauptkosten!B69</f>
        <v>0</v>
      </c>
      <c r="F8" s="165">
        <f>F7*Personalhauptkosten!B69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D7*Personalhauptkosten!$C73</f>
        <v>0</v>
      </c>
      <c r="E9" s="165">
        <f>E7*Personalhauptkosten!$C73</f>
        <v>0</v>
      </c>
      <c r="F9" s="165">
        <f>F7*Personalhauptkosten!$C73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255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D12*Personalhauptkosten!$D69</f>
        <v>0</v>
      </c>
      <c r="E13" s="166">
        <f>E12*Personalhauptkosten!$D69</f>
        <v>0</v>
      </c>
      <c r="F13" s="166">
        <f>F12*Personalhauptkosten!$D69</f>
        <v>0</v>
      </c>
    </row>
    <row r="14" spans="1:6" ht="18" customHeight="1">
      <c r="A14" s="93" t="s">
        <v>22</v>
      </c>
      <c r="B14" s="79" t="s">
        <v>21</v>
      </c>
      <c r="C14" s="79"/>
      <c r="D14" s="167" t="e">
        <f>D12*Personalhauptkosten!$B72</f>
        <v>#VALUE!</v>
      </c>
      <c r="E14" s="167" t="e">
        <f>E12*Personalhauptkosten!$B72</f>
        <v>#VALUE!</v>
      </c>
      <c r="F14" s="167" t="e">
        <f>F12*Personalhauptkosten!$B72</f>
        <v>#VALUE!</v>
      </c>
    </row>
    <row r="15" spans="1:6" ht="20.45" customHeight="1">
      <c r="A15" s="93" t="s">
        <v>216</v>
      </c>
      <c r="B15" s="79" t="s">
        <v>218</v>
      </c>
      <c r="C15" s="79"/>
      <c r="D15" s="113" t="e">
        <f>SUM(D12:D14)</f>
        <v>#VALUE!</v>
      </c>
      <c r="E15" s="113" t="e">
        <f>SUM(E12:E14)</f>
        <v>#VALUE!</v>
      </c>
      <c r="F15" s="113" t="e">
        <f>SUM(F12:F14)</f>
        <v>#VALUE!</v>
      </c>
    </row>
    <row r="16" spans="1:6" s="158" customFormat="1" ht="18.600000000000001" customHeight="1">
      <c r="A16" s="106" t="s">
        <v>23</v>
      </c>
      <c r="B16" s="114" t="s">
        <v>256</v>
      </c>
      <c r="C16" s="85"/>
      <c r="D16" s="112"/>
      <c r="E16" s="112"/>
      <c r="F16" s="112"/>
    </row>
    <row r="17" spans="1:6" s="158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58" customFormat="1" ht="18.600000000000001" customHeight="1">
      <c r="A18" s="118" t="s">
        <v>26</v>
      </c>
      <c r="B18" s="119" t="s">
        <v>27</v>
      </c>
      <c r="C18" s="119"/>
      <c r="D18" s="166">
        <f>D17*Personalhauptkosten!$D69</f>
        <v>0</v>
      </c>
      <c r="E18" s="166">
        <f>E17*Personalhauptkosten!$D69</f>
        <v>0</v>
      </c>
      <c r="F18" s="166">
        <f>F17*Personalhauptkosten!$D69</f>
        <v>0</v>
      </c>
    </row>
    <row r="19" spans="1:6" s="158" customFormat="1" ht="18.600000000000001" customHeight="1">
      <c r="A19" s="118" t="s">
        <v>28</v>
      </c>
      <c r="B19" s="79" t="s">
        <v>21</v>
      </c>
      <c r="C19" s="119"/>
      <c r="D19" s="166" t="e">
        <f>D17*Personalhauptkosten!$B72</f>
        <v>#VALUE!</v>
      </c>
      <c r="E19" s="166" t="e">
        <f>E17*Personalhauptkosten!$B72</f>
        <v>#VALUE!</v>
      </c>
      <c r="F19" s="166" t="e">
        <f>F17*Personalhauptkosten!$B72</f>
        <v>#VALUE!</v>
      </c>
    </row>
    <row r="20" spans="1:6" ht="18" customHeight="1">
      <c r="A20" s="120" t="s">
        <v>93</v>
      </c>
      <c r="B20" s="97" t="s">
        <v>217</v>
      </c>
      <c r="C20" s="97"/>
      <c r="D20" s="121" t="e">
        <f>SUM(D17:D19)</f>
        <v>#VALUE!</v>
      </c>
      <c r="E20" s="121" t="e">
        <f>SUM(E17:E19)</f>
        <v>#VALUE!</v>
      </c>
      <c r="F20" s="121" t="e">
        <f>SUM(F17:F19)</f>
        <v>#VALUE!</v>
      </c>
    </row>
    <row r="21" spans="1:6" ht="15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16.5" customHeight="1" thickBot="1">
      <c r="A22" s="122" t="s">
        <v>30</v>
      </c>
      <c r="B22" s="56" t="s">
        <v>31</v>
      </c>
      <c r="C22" s="135"/>
      <c r="D22" s="125" t="e">
        <f>D10+D15+D20+D21</f>
        <v>#VALUE!</v>
      </c>
      <c r="E22" s="125" t="e">
        <f>E10+E15+E20+E21</f>
        <v>#VALUE!</v>
      </c>
      <c r="F22" s="125" t="e">
        <f>F10+F15+F20+F21</f>
        <v>#VALUE!</v>
      </c>
    </row>
    <row r="23" spans="1:6" ht="15" customHeight="1" thickBot="1">
      <c r="A23" s="203" t="s">
        <v>287</v>
      </c>
      <c r="B23" s="137" t="s">
        <v>289</v>
      </c>
      <c r="C23" s="135"/>
      <c r="D23" s="149"/>
      <c r="E23" s="149"/>
      <c r="F23" s="149"/>
    </row>
    <row r="24" spans="1:6" ht="15" customHeight="1" thickBot="1">
      <c r="A24" s="203" t="s">
        <v>288</v>
      </c>
      <c r="B24" s="137" t="s">
        <v>290</v>
      </c>
      <c r="C24" s="135"/>
      <c r="D24" s="149"/>
      <c r="E24" s="149"/>
      <c r="F24" s="149"/>
    </row>
    <row r="25" spans="1:6" ht="18" customHeight="1">
      <c r="A25" s="104" t="s">
        <v>32</v>
      </c>
      <c r="B25" s="82" t="s">
        <v>33</v>
      </c>
      <c r="C25" s="83"/>
      <c r="D25" s="146"/>
      <c r="E25" s="146"/>
      <c r="F25" s="146"/>
    </row>
    <row r="26" spans="1:6" ht="17.45" customHeight="1">
      <c r="A26" s="126" t="s">
        <v>34</v>
      </c>
      <c r="B26" s="79" t="s">
        <v>293</v>
      </c>
      <c r="C26" s="92"/>
      <c r="D26" s="145"/>
      <c r="E26" s="145"/>
      <c r="F26" s="145"/>
    </row>
    <row r="27" spans="1:6" ht="12" customHeight="1">
      <c r="A27" s="109" t="s">
        <v>35</v>
      </c>
      <c r="B27" s="86" t="s">
        <v>291</v>
      </c>
      <c r="C27" s="86"/>
      <c r="D27" s="149"/>
      <c r="E27" s="149"/>
      <c r="F27" s="149"/>
    </row>
    <row r="28" spans="1:6" ht="12.6" customHeight="1">
      <c r="A28" s="109" t="s">
        <v>36</v>
      </c>
      <c r="B28" s="86" t="s">
        <v>292</v>
      </c>
      <c r="C28" s="86"/>
      <c r="D28" s="149"/>
      <c r="E28" s="149"/>
      <c r="F28" s="149"/>
    </row>
    <row r="29" spans="1:6" ht="16.149999999999999" customHeight="1">
      <c r="A29" s="98" t="s">
        <v>38</v>
      </c>
      <c r="B29" s="80" t="s">
        <v>39</v>
      </c>
      <c r="C29" s="80"/>
      <c r="D29" s="146">
        <f>SUM(D27:D28)</f>
        <v>0</v>
      </c>
      <c r="E29" s="146">
        <f>SUM(E27:E28)</f>
        <v>0</v>
      </c>
      <c r="F29" s="146">
        <f>SUM(F27:F28)</f>
        <v>0</v>
      </c>
    </row>
    <row r="30" spans="1:6" ht="20.45" customHeight="1">
      <c r="A30" s="104" t="s">
        <v>40</v>
      </c>
      <c r="B30" s="78" t="s">
        <v>41</v>
      </c>
      <c r="C30" s="89"/>
      <c r="D30" s="145"/>
      <c r="E30" s="145"/>
      <c r="F30" s="145"/>
    </row>
    <row r="31" spans="1:6" ht="12.75">
      <c r="A31" s="109" t="s">
        <v>42</v>
      </c>
      <c r="B31" s="86" t="s">
        <v>43</v>
      </c>
      <c r="C31" s="86"/>
      <c r="D31" s="149"/>
      <c r="E31" s="149"/>
      <c r="F31" s="149"/>
    </row>
    <row r="32" spans="1:6" ht="12.75">
      <c r="A32" s="109" t="s">
        <v>44</v>
      </c>
      <c r="B32" s="86" t="s">
        <v>45</v>
      </c>
      <c r="C32" s="86"/>
      <c r="D32" s="149"/>
      <c r="E32" s="149"/>
      <c r="F32" s="149"/>
    </row>
    <row r="33" spans="1:6" ht="12.75">
      <c r="A33" s="109" t="s">
        <v>46</v>
      </c>
      <c r="B33" s="86" t="s">
        <v>47</v>
      </c>
      <c r="C33" s="86"/>
      <c r="D33" s="149"/>
      <c r="E33" s="149"/>
      <c r="F33" s="149"/>
    </row>
    <row r="34" spans="1:6" ht="12.75">
      <c r="A34" s="109" t="s">
        <v>48</v>
      </c>
      <c r="B34" s="86" t="s">
        <v>49</v>
      </c>
      <c r="C34" s="86"/>
      <c r="D34" s="149"/>
      <c r="E34" s="149"/>
      <c r="F34" s="149"/>
    </row>
    <row r="35" spans="1:6" ht="12.75">
      <c r="A35" s="109" t="s">
        <v>50</v>
      </c>
      <c r="B35" s="86" t="s">
        <v>51</v>
      </c>
      <c r="C35" s="86"/>
      <c r="D35" s="149"/>
      <c r="E35" s="149"/>
      <c r="F35" s="149"/>
    </row>
    <row r="36" spans="1:6" ht="12.75">
      <c r="A36" s="98" t="s">
        <v>52</v>
      </c>
      <c r="B36" s="80" t="s">
        <v>53</v>
      </c>
      <c r="C36" s="80"/>
      <c r="D36" s="146">
        <f>SUM(D31:D35)</f>
        <v>0</v>
      </c>
      <c r="E36" s="146">
        <f>SUM(E31:E35)</f>
        <v>0</v>
      </c>
      <c r="F36" s="146">
        <f>SUM(F31:F35)</f>
        <v>0</v>
      </c>
    </row>
    <row r="37" spans="1:6" ht="16.5" customHeight="1">
      <c r="A37" s="104" t="s">
        <v>54</v>
      </c>
      <c r="B37" s="78" t="s">
        <v>267</v>
      </c>
      <c r="C37" s="89"/>
      <c r="D37" s="145"/>
      <c r="E37" s="145"/>
      <c r="F37" s="145"/>
    </row>
    <row r="38" spans="1:6" ht="13.15" customHeight="1">
      <c r="A38" s="109" t="s">
        <v>55</v>
      </c>
      <c r="B38" s="86" t="s">
        <v>56</v>
      </c>
      <c r="C38" s="86"/>
      <c r="D38" s="149"/>
      <c r="E38" s="149"/>
      <c r="F38" s="149"/>
    </row>
    <row r="39" spans="1:6" ht="14.45" customHeight="1">
      <c r="A39" s="109" t="s">
        <v>57</v>
      </c>
      <c r="B39" s="86" t="s">
        <v>270</v>
      </c>
      <c r="C39" s="86"/>
      <c r="D39" s="149"/>
      <c r="E39" s="149"/>
      <c r="F39" s="149"/>
    </row>
    <row r="40" spans="1:6" ht="13.15" customHeight="1">
      <c r="A40" s="109" t="s">
        <v>58</v>
      </c>
      <c r="B40" s="86" t="s">
        <v>59</v>
      </c>
      <c r="C40" s="86"/>
      <c r="D40" s="149"/>
      <c r="E40" s="149"/>
      <c r="F40" s="149"/>
    </row>
    <row r="41" spans="1:6" ht="12" customHeight="1">
      <c r="A41" s="109" t="s">
        <v>60</v>
      </c>
      <c r="B41" s="86" t="s">
        <v>271</v>
      </c>
      <c r="C41" s="86"/>
      <c r="D41" s="149"/>
      <c r="E41" s="149"/>
      <c r="F41" s="149"/>
    </row>
    <row r="42" spans="1:6" ht="13.9" customHeight="1">
      <c r="A42" s="109" t="s">
        <v>61</v>
      </c>
      <c r="B42" s="86" t="s">
        <v>272</v>
      </c>
      <c r="C42" s="86"/>
      <c r="D42" s="149"/>
      <c r="E42" s="149"/>
      <c r="F42" s="149"/>
    </row>
    <row r="43" spans="1:6" ht="18" customHeight="1">
      <c r="A43" s="98" t="s">
        <v>62</v>
      </c>
      <c r="B43" s="80" t="s">
        <v>63</v>
      </c>
      <c r="C43" s="80"/>
      <c r="D43" s="146">
        <f>SUM(D38:D42)</f>
        <v>0</v>
      </c>
      <c r="E43" s="146">
        <f>SUM(E38:E42)</f>
        <v>0</v>
      </c>
      <c r="F43" s="146">
        <f>SUM(F38:F42)</f>
        <v>0</v>
      </c>
    </row>
    <row r="44" spans="1:6" ht="19.149999999999999" customHeight="1">
      <c r="A44" s="93"/>
      <c r="B44" s="79"/>
      <c r="C44" s="88" t="s">
        <v>64</v>
      </c>
      <c r="D44" s="147" t="e">
        <f>SUM(D22+D36+D43)</f>
        <v>#VALUE!</v>
      </c>
      <c r="E44" s="147" t="e">
        <f>SUM(E22+E29+E36+E43)</f>
        <v>#VALUE!</v>
      </c>
      <c r="F44" s="147" t="e">
        <f>SUM(F22+F29+F36+F43)</f>
        <v>#VALUE!</v>
      </c>
    </row>
    <row r="45" spans="1:6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46" t="e">
        <f>D44</f>
        <v>#VALUE!</v>
      </c>
      <c r="E46" s="146" t="e">
        <f>E44</f>
        <v>#VALUE!</v>
      </c>
      <c r="F46" s="146" t="e">
        <f>F44</f>
        <v>#VALUE!</v>
      </c>
    </row>
    <row r="47" spans="1:6" ht="18" customHeight="1">
      <c r="A47" s="104" t="s">
        <v>65</v>
      </c>
      <c r="B47" s="78" t="s">
        <v>269</v>
      </c>
      <c r="C47" s="128"/>
      <c r="D47" s="151"/>
      <c r="E47" s="151"/>
      <c r="F47" s="151"/>
    </row>
    <row r="48" spans="1:6" ht="19.149999999999999" customHeight="1">
      <c r="A48" s="104" t="s">
        <v>69</v>
      </c>
      <c r="B48" s="78" t="s">
        <v>71</v>
      </c>
      <c r="C48" s="89"/>
      <c r="D48" s="145"/>
      <c r="E48" s="145"/>
      <c r="F48" s="145"/>
    </row>
    <row r="49" spans="1:6" ht="15.6" customHeight="1">
      <c r="A49" s="109" t="s">
        <v>94</v>
      </c>
      <c r="B49" s="86" t="s">
        <v>95</v>
      </c>
      <c r="C49" s="129"/>
      <c r="D49" s="176"/>
      <c r="E49" s="176"/>
      <c r="F49" s="176"/>
    </row>
    <row r="50" spans="1:6" ht="15.6" customHeight="1">
      <c r="A50" s="109"/>
      <c r="B50" s="86" t="s">
        <v>262</v>
      </c>
      <c r="C50" s="129"/>
      <c r="D50" s="150"/>
      <c r="E50" s="150"/>
      <c r="F50" s="150"/>
    </row>
    <row r="51" spans="1:6" ht="15.6" customHeight="1">
      <c r="A51" s="109" t="s">
        <v>96</v>
      </c>
      <c r="B51" s="86" t="s">
        <v>75</v>
      </c>
      <c r="C51" s="129"/>
      <c r="D51" s="176"/>
      <c r="E51" s="176"/>
      <c r="F51" s="176"/>
    </row>
    <row r="52" spans="1:6" ht="16.149999999999999" customHeight="1">
      <c r="A52" s="109" t="s">
        <v>1</v>
      </c>
      <c r="B52" s="86" t="s">
        <v>263</v>
      </c>
      <c r="C52" s="129"/>
      <c r="D52" s="150"/>
      <c r="E52" s="150"/>
      <c r="F52" s="150"/>
    </row>
    <row r="53" spans="1:6" ht="17.45" customHeight="1" thickBot="1">
      <c r="A53" s="98" t="s">
        <v>97</v>
      </c>
      <c r="B53" s="80" t="s">
        <v>77</v>
      </c>
      <c r="C53" s="89"/>
      <c r="D53" s="146">
        <f>SUM(D50+D52)</f>
        <v>0</v>
      </c>
      <c r="E53" s="146">
        <f>SUM(E50+E52)</f>
        <v>0</v>
      </c>
      <c r="F53" s="146">
        <f>SUM(F50+F52)</f>
        <v>0</v>
      </c>
    </row>
    <row r="54" spans="1:6" ht="24.6" customHeight="1" thickBot="1">
      <c r="A54" s="122" t="s">
        <v>78</v>
      </c>
      <c r="B54" s="56" t="s">
        <v>79</v>
      </c>
      <c r="C54" s="135"/>
      <c r="D54" s="148" t="e">
        <f>D46+D47+D53</f>
        <v>#VALUE!</v>
      </c>
      <c r="E54" s="148" t="e">
        <f>E46+E47+E53</f>
        <v>#VALUE!</v>
      </c>
      <c r="F54" s="148" t="e">
        <f>F46+F47+F53</f>
        <v>#VALUE!</v>
      </c>
    </row>
    <row r="55" spans="1:6" ht="24.6" customHeight="1" thickBot="1">
      <c r="A55" s="202" t="s">
        <v>106</v>
      </c>
      <c r="B55" s="56" t="s">
        <v>294</v>
      </c>
      <c r="C55" s="135"/>
      <c r="D55" s="148"/>
      <c r="E55" s="148"/>
      <c r="F55" s="148"/>
    </row>
    <row r="56" spans="1:6" ht="15" customHeight="1" thickBot="1">
      <c r="A56" s="203" t="s">
        <v>107</v>
      </c>
      <c r="B56" s="137" t="s">
        <v>295</v>
      </c>
      <c r="C56" s="135"/>
      <c r="D56" s="153"/>
      <c r="E56" s="153"/>
      <c r="F56" s="153"/>
    </row>
    <row r="57" spans="1:6" ht="15" customHeight="1" thickBot="1">
      <c r="A57" s="203" t="s">
        <v>108</v>
      </c>
      <c r="B57" s="137" t="s">
        <v>296</v>
      </c>
      <c r="C57" s="135"/>
      <c r="D57" s="153"/>
      <c r="E57" s="153"/>
      <c r="F57" s="153"/>
    </row>
    <row r="58" spans="1:6" ht="15" customHeight="1" thickBot="1">
      <c r="A58" s="203" t="s">
        <v>298</v>
      </c>
      <c r="B58" s="137" t="s">
        <v>284</v>
      </c>
      <c r="C58" s="135"/>
      <c r="D58" s="153"/>
      <c r="E58" s="153"/>
      <c r="F58" s="153"/>
    </row>
    <row r="59" spans="1:6" ht="24.6" customHeight="1" thickBot="1">
      <c r="A59" s="202" t="s">
        <v>119</v>
      </c>
      <c r="B59" s="56" t="s">
        <v>297</v>
      </c>
      <c r="C59" s="135"/>
      <c r="D59" s="148"/>
      <c r="E59" s="148"/>
      <c r="F59" s="148"/>
    </row>
    <row r="60" spans="1:6" ht="15" customHeight="1" thickBot="1">
      <c r="A60" s="203" t="s">
        <v>121</v>
      </c>
      <c r="B60" s="137" t="s">
        <v>295</v>
      </c>
      <c r="C60" s="135"/>
      <c r="D60" s="153"/>
      <c r="E60" s="153"/>
      <c r="F60" s="153"/>
    </row>
    <row r="61" spans="1:6" ht="15" customHeight="1" thickBot="1">
      <c r="A61" s="203" t="s">
        <v>122</v>
      </c>
      <c r="B61" s="137" t="s">
        <v>296</v>
      </c>
      <c r="C61" s="135"/>
      <c r="D61" s="153"/>
      <c r="E61" s="153"/>
      <c r="F61" s="153"/>
    </row>
    <row r="62" spans="1:6" ht="15" customHeight="1" thickBot="1">
      <c r="A62" s="203" t="s">
        <v>123</v>
      </c>
      <c r="B62" s="137" t="s">
        <v>284</v>
      </c>
      <c r="C62" s="135"/>
      <c r="D62" s="153"/>
      <c r="E62" s="153"/>
      <c r="F62" s="153"/>
    </row>
    <row r="63" spans="1:6" ht="24.6" customHeight="1" thickBot="1">
      <c r="A63" s="202" t="s">
        <v>279</v>
      </c>
      <c r="B63" s="56" t="s">
        <v>301</v>
      </c>
      <c r="C63" s="135"/>
      <c r="D63" s="148"/>
      <c r="E63" s="148"/>
      <c r="F63" s="148"/>
    </row>
    <row r="64" spans="1:6" ht="15" customHeight="1" thickBot="1">
      <c r="A64" s="203" t="s">
        <v>280</v>
      </c>
      <c r="B64" s="137" t="s">
        <v>299</v>
      </c>
      <c r="C64" s="135"/>
      <c r="D64" s="148">
        <f>D23+D56+D57+D58</f>
        <v>0</v>
      </c>
      <c r="E64" s="148">
        <f>E23+E56+E57+E58</f>
        <v>0</v>
      </c>
      <c r="F64" s="148">
        <f>F23+F56+F57+F58</f>
        <v>0</v>
      </c>
    </row>
    <row r="65" spans="1:6" ht="15" customHeight="1" thickBot="1">
      <c r="A65" s="203" t="s">
        <v>281</v>
      </c>
      <c r="B65" s="137" t="s">
        <v>300</v>
      </c>
      <c r="C65" s="135"/>
      <c r="D65" s="148">
        <f>D24+D60+D61+D62</f>
        <v>0</v>
      </c>
      <c r="E65" s="148">
        <f>E24+E60+E61+E62</f>
        <v>0</v>
      </c>
      <c r="F65" s="148">
        <f>F24+F60+F61+F62</f>
        <v>0</v>
      </c>
    </row>
    <row r="66" spans="1:6" ht="8.25" customHeight="1">
      <c r="A66" s="109"/>
      <c r="B66" s="86"/>
      <c r="C66" s="129"/>
      <c r="D66" s="152"/>
      <c r="E66" s="152"/>
      <c r="F66" s="152"/>
    </row>
    <row r="67" spans="1:6" ht="17.25" customHeight="1">
      <c r="A67" s="126" t="s">
        <v>80</v>
      </c>
      <c r="B67" s="88" t="s">
        <v>81</v>
      </c>
      <c r="C67" s="92"/>
      <c r="D67" s="152"/>
      <c r="E67" s="152"/>
      <c r="F67" s="152"/>
    </row>
    <row r="68" spans="1:6" ht="17.45" customHeight="1">
      <c r="A68" s="109" t="s">
        <v>82</v>
      </c>
      <c r="B68" s="86" t="s">
        <v>98</v>
      </c>
      <c r="C68" s="129"/>
      <c r="D68" s="153"/>
      <c r="E68" s="153"/>
      <c r="F68" s="153"/>
    </row>
    <row r="69" spans="1:6" ht="15" customHeight="1">
      <c r="A69" s="109" t="s">
        <v>84</v>
      </c>
      <c r="B69" s="86" t="s">
        <v>83</v>
      </c>
      <c r="C69" s="129"/>
      <c r="D69" s="149"/>
      <c r="E69" s="149"/>
      <c r="F69" s="149"/>
    </row>
    <row r="70" spans="1:6" ht="14.45" customHeight="1">
      <c r="A70" s="93" t="s">
        <v>86</v>
      </c>
      <c r="B70" s="79" t="s">
        <v>85</v>
      </c>
      <c r="C70" s="92"/>
      <c r="D70" s="149"/>
      <c r="E70" s="149"/>
      <c r="F70" s="149"/>
    </row>
    <row r="71" spans="1:6" ht="18.600000000000001" customHeight="1" thickBot="1">
      <c r="A71" s="98" t="s">
        <v>99</v>
      </c>
      <c r="B71" s="80" t="s">
        <v>87</v>
      </c>
      <c r="C71" s="80"/>
      <c r="D71" s="146">
        <f>SUM(D68:D70)</f>
        <v>0</v>
      </c>
      <c r="E71" s="146">
        <f>SUM(E68:E70)</f>
        <v>0</v>
      </c>
      <c r="F71" s="146">
        <f>SUM(F68:F70)</f>
        <v>0</v>
      </c>
    </row>
    <row r="72" spans="1:6" ht="23.45" customHeight="1" thickBot="1">
      <c r="A72" s="122" t="s">
        <v>88</v>
      </c>
      <c r="B72" s="56" t="s">
        <v>100</v>
      </c>
      <c r="C72" s="137"/>
      <c r="D72" s="154" t="e">
        <f>D71-D54</f>
        <v>#VALUE!</v>
      </c>
      <c r="E72" s="154" t="e">
        <f>E71-E54</f>
        <v>#VALUE!</v>
      </c>
      <c r="F72" s="154" t="e">
        <f>F71-F54</f>
        <v>#VALUE!</v>
      </c>
    </row>
    <row r="73" spans="1:6" ht="24" customHeight="1">
      <c r="A73" s="106" t="s">
        <v>92</v>
      </c>
      <c r="B73" s="391" t="s">
        <v>159</v>
      </c>
      <c r="C73" s="392"/>
      <c r="D73" s="155"/>
      <c r="E73" s="156"/>
      <c r="F73" s="155"/>
    </row>
    <row r="74" spans="1:6" ht="27.75" customHeight="1" thickBot="1">
      <c r="A74" s="159" t="s">
        <v>101</v>
      </c>
      <c r="B74" s="393" t="s">
        <v>144</v>
      </c>
      <c r="C74" s="394"/>
      <c r="D74" s="157" t="e">
        <f>D72*100/D73</f>
        <v>#VALUE!</v>
      </c>
      <c r="E74" s="157" t="e">
        <f>E72*100/E73</f>
        <v>#VALUE!</v>
      </c>
      <c r="F74" s="157" t="e">
        <f>F72*100/F73</f>
        <v>#VALUE!</v>
      </c>
    </row>
    <row r="75" spans="1:6" ht="12.75">
      <c r="A75" s="75"/>
      <c r="B75" s="75"/>
      <c r="C75" s="75"/>
      <c r="D75" s="75"/>
      <c r="E75" s="75"/>
      <c r="F75" s="75"/>
    </row>
    <row r="76" spans="1:6" ht="20.45" customHeight="1">
      <c r="A76" s="160" t="s">
        <v>90</v>
      </c>
      <c r="B76" s="55" t="s">
        <v>219</v>
      </c>
      <c r="C76" s="75"/>
      <c r="D76" s="75"/>
      <c r="E76" s="75"/>
      <c r="F76" s="75"/>
    </row>
    <row r="77" spans="1:6" ht="20.25" customHeight="1">
      <c r="A77" s="55" t="s">
        <v>158</v>
      </c>
      <c r="B77" s="75"/>
      <c r="C77" s="75"/>
      <c r="D77" s="75"/>
      <c r="E77" s="75"/>
      <c r="F77" s="75"/>
    </row>
  </sheetData>
  <customSheetViews>
    <customSheetView guid="{1CC00BDA-F26F-4B2F-9920-976F9DA01936}" showRuler="0">
      <selection activeCell="A2" sqref="A2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2">
    <mergeCell ref="B73:C73"/>
    <mergeCell ref="B74:C74"/>
  </mergeCells>
  <phoneticPr fontId="0" type="noConversion"/>
  <hyperlinks>
    <hyperlink ref="D1" location="Inhalt!A1" display="zurück zum Inhalt"/>
  </hyperlinks>
  <pageMargins left="0.59055118110236227" right="0.19685039370078741" top="0.98425196850393704" bottom="0.98425196850393704" header="0.51181102362204722" footer="0.51181102362204722"/>
  <pageSetup paperSize="9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selection activeCell="F18" sqref="F18"/>
    </sheetView>
  </sheetViews>
  <sheetFormatPr baseColWidth="10" defaultColWidth="4.7109375" defaultRowHeight="12.75"/>
  <cols>
    <col min="1" max="1" width="5.42578125" customWidth="1"/>
    <col min="2" max="2" width="6.5703125" customWidth="1"/>
    <col min="3" max="3" width="44.28515625" customWidth="1"/>
    <col min="4" max="11" width="11.85546875" customWidth="1"/>
    <col min="12" max="13" width="8.7109375" customWidth="1"/>
  </cols>
  <sheetData>
    <row r="1" spans="1:11" ht="20.25" customHeight="1">
      <c r="A1" s="398" t="s">
        <v>163</v>
      </c>
      <c r="B1" s="399"/>
      <c r="C1" s="400"/>
      <c r="D1" s="315" t="str">
        <f>Personalhauptkosten!F1</f>
        <v>Stand:</v>
      </c>
      <c r="E1" s="5"/>
      <c r="F1" s="5"/>
      <c r="G1" s="4"/>
      <c r="H1" s="410" t="s">
        <v>353</v>
      </c>
      <c r="I1" s="410"/>
    </row>
    <row r="2" spans="1:11" ht="16.5" customHeight="1">
      <c r="A2" s="407" t="s">
        <v>356</v>
      </c>
      <c r="B2" s="408"/>
      <c r="C2" s="409"/>
      <c r="D2" s="316">
        <f>Personalhauptkosten!F2</f>
        <v>44562</v>
      </c>
      <c r="E2" s="8"/>
      <c r="F2" s="8"/>
      <c r="G2" s="193"/>
      <c r="H2" s="195"/>
      <c r="I2" s="195"/>
    </row>
    <row r="3" spans="1:11" ht="15.75" customHeight="1">
      <c r="A3" s="411" t="s">
        <v>0</v>
      </c>
      <c r="B3" s="411"/>
      <c r="C3" s="411"/>
      <c r="D3" s="395"/>
      <c r="E3" s="396"/>
      <c r="F3" s="396"/>
      <c r="G3" s="396"/>
      <c r="H3" s="396"/>
      <c r="I3" s="397"/>
    </row>
    <row r="4" spans="1:11" ht="15.75" customHeight="1">
      <c r="A4" s="411" t="s">
        <v>2</v>
      </c>
      <c r="B4" s="411"/>
      <c r="C4" s="411"/>
      <c r="D4" s="395"/>
      <c r="E4" s="396"/>
      <c r="F4" s="396"/>
      <c r="G4" s="396"/>
      <c r="H4" s="396"/>
      <c r="I4" s="397"/>
    </row>
    <row r="5" spans="1:11" ht="15.75" customHeight="1">
      <c r="A5" s="411" t="s">
        <v>358</v>
      </c>
      <c r="B5" s="411"/>
      <c r="C5" s="411" t="s">
        <v>1</v>
      </c>
      <c r="D5" s="395"/>
      <c r="E5" s="396"/>
      <c r="F5" s="396"/>
      <c r="G5" s="396"/>
      <c r="H5" s="396"/>
      <c r="I5" s="397"/>
    </row>
    <row r="6" spans="1:11" ht="15.75" customHeight="1">
      <c r="A6" s="411" t="s">
        <v>153</v>
      </c>
      <c r="B6" s="411"/>
      <c r="C6" s="411"/>
      <c r="D6" s="311"/>
    </row>
    <row r="7" spans="1:11" ht="15.75" customHeight="1">
      <c r="A7" s="411" t="s">
        <v>145</v>
      </c>
      <c r="B7" s="411"/>
      <c r="C7" s="411"/>
      <c r="D7" s="312"/>
    </row>
    <row r="8" spans="1:11" ht="15.75" customHeight="1">
      <c r="A8" s="411" t="s">
        <v>357</v>
      </c>
      <c r="B8" s="411"/>
      <c r="C8" s="411"/>
      <c r="D8" s="317"/>
      <c r="F8" t="s">
        <v>360</v>
      </c>
    </row>
    <row r="9" spans="1:11" ht="9.75" customHeight="1">
      <c r="A9" s="4"/>
      <c r="B9" s="5"/>
      <c r="C9" s="5"/>
      <c r="D9" s="310"/>
      <c r="E9" s="310"/>
      <c r="F9" s="310"/>
      <c r="G9" s="310"/>
      <c r="H9" s="310"/>
      <c r="I9" s="310"/>
      <c r="J9" s="310"/>
      <c r="K9" s="310"/>
    </row>
    <row r="10" spans="1:11" ht="20.25" customHeight="1">
      <c r="A10" s="104" t="s">
        <v>6</v>
      </c>
      <c r="B10" s="82" t="s">
        <v>359</v>
      </c>
      <c r="C10" s="83"/>
      <c r="D10" s="22">
        <f>D7</f>
        <v>0</v>
      </c>
      <c r="E10" s="22">
        <f>D10+1</f>
        <v>1</v>
      </c>
      <c r="F10" s="22">
        <f t="shared" ref="F10:I10" si="0">E10+1</f>
        <v>2</v>
      </c>
      <c r="G10" s="22">
        <f t="shared" si="0"/>
        <v>3</v>
      </c>
      <c r="H10" s="22">
        <f t="shared" si="0"/>
        <v>4</v>
      </c>
      <c r="I10" s="22">
        <f t="shared" si="0"/>
        <v>5</v>
      </c>
      <c r="J10" s="22">
        <f>I10+1</f>
        <v>6</v>
      </c>
      <c r="K10" s="22">
        <f>J10+1</f>
        <v>7</v>
      </c>
    </row>
    <row r="11" spans="1:11" ht="15" customHeight="1">
      <c r="A11" s="6" t="s">
        <v>8</v>
      </c>
      <c r="B11" s="412" t="s">
        <v>102</v>
      </c>
      <c r="C11" s="413"/>
      <c r="D11" s="110"/>
      <c r="E11" s="110"/>
      <c r="F11" s="110"/>
      <c r="G11" s="110"/>
      <c r="H11" s="110"/>
      <c r="I11" s="110"/>
      <c r="J11" s="110"/>
      <c r="K11" s="110"/>
    </row>
    <row r="12" spans="1:11" ht="13.5" customHeight="1">
      <c r="A12" s="6" t="s">
        <v>17</v>
      </c>
      <c r="B12" s="412" t="s">
        <v>102</v>
      </c>
      <c r="C12" s="413"/>
      <c r="D12" s="110"/>
      <c r="E12" s="110"/>
      <c r="F12" s="110"/>
      <c r="G12" s="110"/>
      <c r="H12" s="110"/>
      <c r="I12" s="110"/>
      <c r="J12" s="110"/>
      <c r="K12" s="110"/>
    </row>
    <row r="13" spans="1:11" ht="18.600000000000001" customHeight="1">
      <c r="A13" s="15" t="s">
        <v>23</v>
      </c>
      <c r="B13" s="24" t="s">
        <v>103</v>
      </c>
      <c r="C13" s="16"/>
      <c r="D13" s="25">
        <f t="shared" ref="D13:K13" si="1">SUM(D11:D12)</f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5">
        <f t="shared" si="1"/>
        <v>0</v>
      </c>
    </row>
    <row r="14" spans="1:11" ht="6" customHeight="1">
      <c r="A14" s="4"/>
      <c r="B14" s="5"/>
      <c r="C14" s="5"/>
      <c r="D14" s="310"/>
      <c r="E14" s="310"/>
      <c r="F14" s="310"/>
      <c r="G14" s="310"/>
      <c r="H14" s="310"/>
      <c r="I14" s="310"/>
      <c r="J14" s="310"/>
      <c r="K14" s="310"/>
    </row>
    <row r="15" spans="1:11" ht="18" customHeight="1">
      <c r="A15" s="104" t="s">
        <v>32</v>
      </c>
      <c r="B15" s="82" t="s">
        <v>7</v>
      </c>
      <c r="C15" s="83"/>
      <c r="D15" s="105"/>
      <c r="E15" s="105"/>
      <c r="F15" s="105"/>
      <c r="G15" s="26"/>
      <c r="H15" s="26"/>
      <c r="I15" s="26"/>
      <c r="J15" s="26"/>
      <c r="K15" s="26"/>
    </row>
    <row r="16" spans="1:11" ht="18" customHeight="1">
      <c r="A16" s="106" t="s">
        <v>34</v>
      </c>
      <c r="B16" s="107" t="s">
        <v>195</v>
      </c>
      <c r="C16" s="86"/>
      <c r="D16" s="108"/>
      <c r="E16" s="108"/>
      <c r="F16" s="108"/>
      <c r="G16" s="14"/>
      <c r="H16" s="27"/>
      <c r="I16" s="14"/>
      <c r="J16" s="28"/>
      <c r="K16" s="14"/>
    </row>
    <row r="17" spans="1:12" ht="18" customHeight="1">
      <c r="A17" s="109" t="s">
        <v>35</v>
      </c>
      <c r="B17" s="86" t="s">
        <v>10</v>
      </c>
      <c r="C17" s="86"/>
      <c r="D17" s="110"/>
      <c r="E17" s="110"/>
      <c r="F17" s="110"/>
      <c r="G17" s="110"/>
      <c r="H17" s="110"/>
      <c r="I17" s="110"/>
      <c r="J17" s="110"/>
      <c r="K17" s="110"/>
      <c r="L17" s="38"/>
    </row>
    <row r="18" spans="1:12" ht="18" customHeight="1">
      <c r="A18" s="109" t="s">
        <v>36</v>
      </c>
      <c r="B18" s="86" t="s">
        <v>12</v>
      </c>
      <c r="C18" s="86"/>
      <c r="D18" s="165">
        <f>D17*Personalhauptkosten!$B$69</f>
        <v>0</v>
      </c>
      <c r="E18" s="165">
        <f>E17*Personalhauptkosten!$B$69</f>
        <v>0</v>
      </c>
      <c r="F18" s="165">
        <f>F17*Personalhauptkosten!$B$69</f>
        <v>0</v>
      </c>
      <c r="G18" s="165">
        <f>G17*Personalhauptkosten!$B$69</f>
        <v>0</v>
      </c>
      <c r="H18" s="165">
        <f>H17*Personalhauptkosten!$B$69</f>
        <v>0</v>
      </c>
      <c r="I18" s="165">
        <f>I17*Personalhauptkosten!$B$69</f>
        <v>0</v>
      </c>
      <c r="J18" s="165">
        <f>J17*Personalhauptkosten!$B$69</f>
        <v>0</v>
      </c>
      <c r="K18" s="165">
        <f>K17*Personalhauptkosten!$B$69</f>
        <v>0</v>
      </c>
    </row>
    <row r="19" spans="1:12" ht="18" customHeight="1">
      <c r="A19" s="109" t="s">
        <v>37</v>
      </c>
      <c r="B19" s="86" t="s">
        <v>14</v>
      </c>
      <c r="C19" s="86"/>
      <c r="D19" s="165">
        <f>D17*Personalhauptkosten!$C$73</f>
        <v>0</v>
      </c>
      <c r="E19" s="165">
        <f>E17*Personalhauptkosten!$C$73</f>
        <v>0</v>
      </c>
      <c r="F19" s="165">
        <f>F17*Personalhauptkosten!$C$73</f>
        <v>0</v>
      </c>
      <c r="G19" s="165">
        <f>G17*Personalhauptkosten!$C$73</f>
        <v>0</v>
      </c>
      <c r="H19" s="165">
        <f>H17*Personalhauptkosten!$C$73</f>
        <v>0</v>
      </c>
      <c r="I19" s="165">
        <f>I17*Personalhauptkosten!$C$73</f>
        <v>0</v>
      </c>
      <c r="J19" s="165">
        <f>J17*Personalhauptkosten!$C$73</f>
        <v>0</v>
      </c>
      <c r="K19" s="165">
        <f>K17*Personalhauptkosten!$C$73</f>
        <v>0</v>
      </c>
    </row>
    <row r="20" spans="1:12" ht="18" customHeight="1">
      <c r="A20" s="104" t="s">
        <v>38</v>
      </c>
      <c r="B20" s="78" t="s">
        <v>16</v>
      </c>
      <c r="C20" s="78"/>
      <c r="D20" s="111">
        <f t="shared" ref="D20:K20" si="2">SUM(D17:D19)</f>
        <v>0</v>
      </c>
      <c r="E20" s="111">
        <f t="shared" si="2"/>
        <v>0</v>
      </c>
      <c r="F20" s="111">
        <f t="shared" si="2"/>
        <v>0</v>
      </c>
      <c r="G20" s="111">
        <f t="shared" si="2"/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38"/>
    </row>
    <row r="21" spans="1:12" ht="18" customHeight="1">
      <c r="A21" s="106" t="s">
        <v>40</v>
      </c>
      <c r="B21" s="107" t="s">
        <v>255</v>
      </c>
      <c r="C21" s="86"/>
      <c r="D21" s="112"/>
      <c r="E21" s="112"/>
      <c r="F21" s="112"/>
      <c r="G21" s="26"/>
      <c r="H21" s="27"/>
      <c r="I21" s="14"/>
      <c r="J21" s="28"/>
      <c r="K21" s="26"/>
    </row>
    <row r="22" spans="1:12" ht="18" customHeight="1">
      <c r="A22" s="109" t="s">
        <v>42</v>
      </c>
      <c r="B22" s="86" t="s">
        <v>19</v>
      </c>
      <c r="C22" s="86"/>
      <c r="D22" s="110"/>
      <c r="E22" s="110"/>
      <c r="F22" s="110"/>
      <c r="G22" s="110"/>
      <c r="H22" s="110"/>
      <c r="I22" s="110"/>
      <c r="J22" s="110"/>
      <c r="K22" s="110"/>
    </row>
    <row r="23" spans="1:12" ht="18" customHeight="1">
      <c r="A23" s="109" t="s">
        <v>44</v>
      </c>
      <c r="B23" s="119" t="s">
        <v>27</v>
      </c>
      <c r="C23" s="119"/>
      <c r="D23" s="166">
        <f>D22*Personalhauptkosten!$D$69</f>
        <v>0</v>
      </c>
      <c r="E23" s="166">
        <f>E22*Personalhauptkosten!$D$69</f>
        <v>0</v>
      </c>
      <c r="F23" s="166">
        <f>F22*Personalhauptkosten!$D$69</f>
        <v>0</v>
      </c>
      <c r="G23" s="166">
        <f>G22*Personalhauptkosten!$D$69</f>
        <v>0</v>
      </c>
      <c r="H23" s="166">
        <f>H22*Personalhauptkosten!$D$69</f>
        <v>0</v>
      </c>
      <c r="I23" s="166">
        <f>I22*Personalhauptkosten!$D$69</f>
        <v>0</v>
      </c>
      <c r="J23" s="166">
        <f>J22*Personalhauptkosten!$D$69</f>
        <v>0</v>
      </c>
      <c r="K23" s="166">
        <f>K22*Personalhauptkosten!$D$69</f>
        <v>0</v>
      </c>
    </row>
    <row r="24" spans="1:12" ht="18" customHeight="1">
      <c r="A24" s="93" t="s">
        <v>46</v>
      </c>
      <c r="B24" s="79" t="s">
        <v>21</v>
      </c>
      <c r="C24" s="79"/>
      <c r="D24" s="167" t="e">
        <f>D22*Personalhauptkosten!$B$72</f>
        <v>#VALUE!</v>
      </c>
      <c r="E24" s="167" t="e">
        <f>E22*Personalhauptkosten!$B$72</f>
        <v>#VALUE!</v>
      </c>
      <c r="F24" s="167" t="e">
        <f>F22*Personalhauptkosten!$B$72</f>
        <v>#VALUE!</v>
      </c>
      <c r="G24" s="167" t="e">
        <f>G22*Personalhauptkosten!$B$72</f>
        <v>#VALUE!</v>
      </c>
      <c r="H24" s="167" t="e">
        <f>H22*Personalhauptkosten!$B$72</f>
        <v>#VALUE!</v>
      </c>
      <c r="I24" s="167" t="e">
        <f>I22*Personalhauptkosten!$B$72</f>
        <v>#VALUE!</v>
      </c>
      <c r="J24" s="167" t="e">
        <f>J22*Personalhauptkosten!$B$72</f>
        <v>#VALUE!</v>
      </c>
      <c r="K24" s="167" t="e">
        <f>K22*Personalhauptkosten!$B$72</f>
        <v>#VALUE!</v>
      </c>
    </row>
    <row r="25" spans="1:12" ht="18" customHeight="1">
      <c r="A25" s="126" t="s">
        <v>48</v>
      </c>
      <c r="B25" s="88" t="s">
        <v>218</v>
      </c>
      <c r="C25" s="88"/>
      <c r="D25" s="113" t="e">
        <f t="shared" ref="D25:K25" si="3">SUM(D22:D24)</f>
        <v>#VALUE!</v>
      </c>
      <c r="E25" s="113" t="e">
        <f t="shared" si="3"/>
        <v>#VALUE!</v>
      </c>
      <c r="F25" s="113" t="e">
        <f t="shared" si="3"/>
        <v>#VALUE!</v>
      </c>
      <c r="G25" s="113" t="e">
        <f t="shared" si="3"/>
        <v>#VALUE!</v>
      </c>
      <c r="H25" s="113" t="e">
        <f t="shared" si="3"/>
        <v>#VALUE!</v>
      </c>
      <c r="I25" s="113" t="e">
        <f t="shared" si="3"/>
        <v>#VALUE!</v>
      </c>
      <c r="J25" s="113" t="e">
        <f t="shared" si="3"/>
        <v>#VALUE!</v>
      </c>
      <c r="K25" s="113" t="e">
        <f t="shared" si="3"/>
        <v>#VALUE!</v>
      </c>
    </row>
    <row r="26" spans="1:12" ht="18" customHeight="1">
      <c r="A26" s="106" t="s">
        <v>54</v>
      </c>
      <c r="B26" s="114" t="s">
        <v>256</v>
      </c>
      <c r="C26" s="85"/>
      <c r="D26" s="112"/>
      <c r="E26" s="112"/>
      <c r="F26" s="112"/>
      <c r="G26" s="112"/>
      <c r="H26" s="112"/>
      <c r="I26" s="112"/>
      <c r="J26" s="112"/>
      <c r="K26" s="112"/>
    </row>
    <row r="27" spans="1:12" ht="18" customHeight="1">
      <c r="A27" s="115" t="s">
        <v>55</v>
      </c>
      <c r="B27" s="116" t="s">
        <v>25</v>
      </c>
      <c r="C27" s="116"/>
      <c r="D27" s="117"/>
      <c r="E27" s="117"/>
      <c r="F27" s="117"/>
      <c r="G27" s="117"/>
      <c r="H27" s="117"/>
      <c r="I27" s="117"/>
      <c r="J27" s="117"/>
      <c r="K27" s="117"/>
    </row>
    <row r="28" spans="1:12" ht="18" customHeight="1">
      <c r="A28" s="118" t="s">
        <v>57</v>
      </c>
      <c r="B28" s="119" t="s">
        <v>27</v>
      </c>
      <c r="C28" s="119"/>
      <c r="D28" s="166">
        <f>D27*Personalhauptkosten!$D$69</f>
        <v>0</v>
      </c>
      <c r="E28" s="166">
        <f>E27*Personalhauptkosten!$D$69</f>
        <v>0</v>
      </c>
      <c r="F28" s="166">
        <f>F27*Personalhauptkosten!$D$69</f>
        <v>0</v>
      </c>
      <c r="G28" s="166">
        <f>G27*Personalhauptkosten!$D$69</f>
        <v>0</v>
      </c>
      <c r="H28" s="166">
        <f>H27*Personalhauptkosten!$D$69</f>
        <v>0</v>
      </c>
      <c r="I28" s="166">
        <f>I27*Personalhauptkosten!$D$69</f>
        <v>0</v>
      </c>
      <c r="J28" s="166">
        <f>J27*Personalhauptkosten!$D$69</f>
        <v>0</v>
      </c>
      <c r="K28" s="166">
        <f>K27*Personalhauptkosten!$D$69</f>
        <v>0</v>
      </c>
    </row>
    <row r="29" spans="1:12" ht="18" customHeight="1">
      <c r="A29" s="118" t="s">
        <v>58</v>
      </c>
      <c r="B29" s="79" t="s">
        <v>21</v>
      </c>
      <c r="C29" s="119"/>
      <c r="D29" s="166" t="e">
        <f>D27*Personalhauptkosten!$B$72</f>
        <v>#VALUE!</v>
      </c>
      <c r="E29" s="166" t="e">
        <f>E27*Personalhauptkosten!$B$72</f>
        <v>#VALUE!</v>
      </c>
      <c r="F29" s="166" t="e">
        <f>F27*Personalhauptkosten!$B$72</f>
        <v>#VALUE!</v>
      </c>
      <c r="G29" s="166" t="e">
        <f>G27*Personalhauptkosten!$B$72</f>
        <v>#VALUE!</v>
      </c>
      <c r="H29" s="166" t="e">
        <f>H27*Personalhauptkosten!$B$72</f>
        <v>#VALUE!</v>
      </c>
      <c r="I29" s="166" t="e">
        <f>I27*Personalhauptkosten!$B$72</f>
        <v>#VALUE!</v>
      </c>
      <c r="J29" s="166" t="e">
        <f>J27*Personalhauptkosten!$B$72</f>
        <v>#VALUE!</v>
      </c>
      <c r="K29" s="166" t="e">
        <f>K27*Personalhauptkosten!$B$72</f>
        <v>#VALUE!</v>
      </c>
    </row>
    <row r="30" spans="1:12" ht="18" customHeight="1">
      <c r="A30" s="96" t="s">
        <v>60</v>
      </c>
      <c r="B30" s="183" t="s">
        <v>217</v>
      </c>
      <c r="C30" s="183"/>
      <c r="D30" s="121" t="e">
        <f t="shared" ref="D30:K30" si="4">SUM(D27:D29)</f>
        <v>#VALUE!</v>
      </c>
      <c r="E30" s="121" t="e">
        <f t="shared" si="4"/>
        <v>#VALUE!</v>
      </c>
      <c r="F30" s="121" t="e">
        <f t="shared" si="4"/>
        <v>#VALUE!</v>
      </c>
      <c r="G30" s="121" t="e">
        <f t="shared" si="4"/>
        <v>#VALUE!</v>
      </c>
      <c r="H30" s="121" t="e">
        <f t="shared" si="4"/>
        <v>#VALUE!</v>
      </c>
      <c r="I30" s="121" t="e">
        <f t="shared" si="4"/>
        <v>#VALUE!</v>
      </c>
      <c r="J30" s="121" t="e">
        <f t="shared" si="4"/>
        <v>#VALUE!</v>
      </c>
      <c r="K30" s="121" t="e">
        <f t="shared" si="4"/>
        <v>#VALUE!</v>
      </c>
    </row>
    <row r="31" spans="1:12" ht="18" customHeight="1" thickBot="1">
      <c r="A31" s="106" t="s">
        <v>65</v>
      </c>
      <c r="B31" s="107" t="s">
        <v>141</v>
      </c>
      <c r="C31" s="86"/>
      <c r="D31" s="110"/>
      <c r="E31" s="110"/>
      <c r="F31" s="110"/>
      <c r="G31" s="110"/>
      <c r="H31" s="110"/>
      <c r="I31" s="110"/>
      <c r="J31" s="110"/>
      <c r="K31" s="110"/>
    </row>
    <row r="32" spans="1:12" ht="18" customHeight="1" thickBot="1">
      <c r="A32" s="122" t="s">
        <v>69</v>
      </c>
      <c r="B32" s="123" t="s">
        <v>277</v>
      </c>
      <c r="C32" s="124"/>
      <c r="D32" s="125" t="e">
        <f t="shared" ref="D32:K32" si="5">D20+D25+D30+D31</f>
        <v>#VALUE!</v>
      </c>
      <c r="E32" s="125" t="e">
        <f t="shared" si="5"/>
        <v>#VALUE!</v>
      </c>
      <c r="F32" s="125" t="e">
        <f t="shared" si="5"/>
        <v>#VALUE!</v>
      </c>
      <c r="G32" s="125" t="e">
        <f t="shared" si="5"/>
        <v>#VALUE!</v>
      </c>
      <c r="H32" s="125" t="e">
        <f t="shared" si="5"/>
        <v>#VALUE!</v>
      </c>
      <c r="I32" s="125" t="e">
        <f t="shared" si="5"/>
        <v>#VALUE!</v>
      </c>
      <c r="J32" s="125" t="e">
        <f t="shared" si="5"/>
        <v>#VALUE!</v>
      </c>
      <c r="K32" s="125" t="e">
        <f t="shared" si="5"/>
        <v>#VALUE!</v>
      </c>
    </row>
    <row r="33" spans="1:11" ht="6" customHeight="1" thickBot="1">
      <c r="A33" s="4"/>
      <c r="B33" s="5"/>
      <c r="C33" s="5"/>
      <c r="D33" s="310"/>
      <c r="E33" s="310"/>
      <c r="F33" s="310"/>
      <c r="G33" s="310"/>
      <c r="H33" s="310"/>
      <c r="I33" s="310"/>
      <c r="J33" s="310"/>
      <c r="K33" s="310"/>
    </row>
    <row r="34" spans="1:11" ht="18.75" customHeight="1" thickBot="1">
      <c r="A34" s="9"/>
      <c r="B34" s="20" t="s">
        <v>104</v>
      </c>
      <c r="C34" s="19"/>
      <c r="D34" s="31" t="e">
        <f>D32</f>
        <v>#VALUE!</v>
      </c>
      <c r="E34" s="31" t="e">
        <f t="shared" ref="E34:K34" si="6">E32</f>
        <v>#VALUE!</v>
      </c>
      <c r="F34" s="31" t="e">
        <f t="shared" si="6"/>
        <v>#VALUE!</v>
      </c>
      <c r="G34" s="31" t="e">
        <f t="shared" si="6"/>
        <v>#VALUE!</v>
      </c>
      <c r="H34" s="31" t="e">
        <f t="shared" si="6"/>
        <v>#VALUE!</v>
      </c>
      <c r="I34" s="31" t="e">
        <f t="shared" si="6"/>
        <v>#VALUE!</v>
      </c>
      <c r="J34" s="31" t="e">
        <f t="shared" si="6"/>
        <v>#VALUE!</v>
      </c>
      <c r="K34" s="31" t="e">
        <f t="shared" si="6"/>
        <v>#VALUE!</v>
      </c>
    </row>
    <row r="35" spans="1:11" ht="6" customHeight="1">
      <c r="A35" s="4"/>
      <c r="B35" s="5"/>
      <c r="C35" s="5"/>
      <c r="D35" s="310"/>
      <c r="E35" s="310"/>
      <c r="F35" s="310"/>
      <c r="G35" s="310"/>
      <c r="H35" s="310"/>
      <c r="I35" s="310"/>
      <c r="J35" s="310"/>
      <c r="K35" s="310"/>
    </row>
    <row r="36" spans="1:11" ht="19.149999999999999" customHeight="1" thickBot="1">
      <c r="A36" s="15"/>
      <c r="B36" s="7"/>
      <c r="C36" s="7"/>
      <c r="D36" s="22">
        <f t="shared" ref="D36:K36" si="7">D10</f>
        <v>0</v>
      </c>
      <c r="E36" s="22">
        <f t="shared" si="7"/>
        <v>1</v>
      </c>
      <c r="F36" s="22">
        <f t="shared" si="7"/>
        <v>2</v>
      </c>
      <c r="G36" s="22">
        <f t="shared" si="7"/>
        <v>3</v>
      </c>
      <c r="H36" s="22">
        <f t="shared" si="7"/>
        <v>4</v>
      </c>
      <c r="I36" s="22">
        <f t="shared" si="7"/>
        <v>5</v>
      </c>
      <c r="J36" s="22">
        <f t="shared" si="7"/>
        <v>6</v>
      </c>
      <c r="K36" s="22">
        <f t="shared" si="7"/>
        <v>7</v>
      </c>
    </row>
    <row r="37" spans="1:11" ht="19.149999999999999" customHeight="1" thickBot="1">
      <c r="A37" s="9"/>
      <c r="B37" s="20" t="s">
        <v>104</v>
      </c>
      <c r="C37" s="19"/>
      <c r="D37" s="31" t="e">
        <f t="shared" ref="D37:K37" si="8">D34</f>
        <v>#VALUE!</v>
      </c>
      <c r="E37" s="31" t="e">
        <f t="shared" si="8"/>
        <v>#VALUE!</v>
      </c>
      <c r="F37" s="31" t="e">
        <f t="shared" si="8"/>
        <v>#VALUE!</v>
      </c>
      <c r="G37" s="31" t="e">
        <f t="shared" si="8"/>
        <v>#VALUE!</v>
      </c>
      <c r="H37" s="31" t="e">
        <f t="shared" si="8"/>
        <v>#VALUE!</v>
      </c>
      <c r="I37" s="31" t="e">
        <f t="shared" si="8"/>
        <v>#VALUE!</v>
      </c>
      <c r="J37" s="31" t="e">
        <f t="shared" si="8"/>
        <v>#VALUE!</v>
      </c>
      <c r="K37" s="31" t="e">
        <f t="shared" si="8"/>
        <v>#VALUE!</v>
      </c>
    </row>
    <row r="38" spans="1:11" ht="20.45" customHeight="1">
      <c r="A38" s="10" t="s">
        <v>78</v>
      </c>
      <c r="B38" s="11" t="s">
        <v>105</v>
      </c>
      <c r="C38" s="12"/>
      <c r="D38" s="14"/>
      <c r="E38" s="14"/>
      <c r="F38" s="14"/>
      <c r="G38" s="26"/>
      <c r="H38" s="27"/>
      <c r="I38" s="14"/>
      <c r="J38" s="28"/>
      <c r="K38" s="14"/>
    </row>
    <row r="39" spans="1:11" ht="19.149999999999999" customHeight="1">
      <c r="A39" s="34" t="s">
        <v>106</v>
      </c>
      <c r="B39" s="39" t="s">
        <v>220</v>
      </c>
      <c r="C39" s="3"/>
      <c r="D39" s="14"/>
      <c r="E39" s="14"/>
      <c r="F39" s="14"/>
      <c r="G39" s="14"/>
      <c r="H39" s="27"/>
      <c r="I39" s="14"/>
      <c r="J39" s="28"/>
      <c r="K39" s="14"/>
    </row>
    <row r="40" spans="1:11" ht="14.45" customHeight="1">
      <c r="A40" s="13" t="s">
        <v>107</v>
      </c>
      <c r="B40" s="32" t="s">
        <v>43</v>
      </c>
      <c r="C40" s="32"/>
      <c r="D40" s="58"/>
      <c r="E40" s="58"/>
      <c r="F40" s="58"/>
      <c r="G40" s="58"/>
      <c r="H40" s="58"/>
      <c r="I40" s="58"/>
      <c r="J40" s="58"/>
      <c r="K40" s="58"/>
    </row>
    <row r="41" spans="1:11" ht="12.6" customHeight="1">
      <c r="A41" s="13" t="s">
        <v>108</v>
      </c>
      <c r="B41" s="32" t="s">
        <v>109</v>
      </c>
      <c r="C41" s="32"/>
      <c r="D41" s="58"/>
      <c r="E41" s="58"/>
      <c r="F41" s="58"/>
      <c r="G41" s="58"/>
      <c r="H41" s="58"/>
      <c r="I41" s="58"/>
      <c r="J41" s="58"/>
      <c r="K41" s="58"/>
    </row>
    <row r="42" spans="1:11">
      <c r="A42" s="13" t="s">
        <v>110</v>
      </c>
      <c r="B42" s="32" t="s">
        <v>111</v>
      </c>
      <c r="C42" s="32"/>
      <c r="D42" s="58"/>
      <c r="E42" s="58"/>
      <c r="F42" s="58"/>
      <c r="G42" s="58"/>
      <c r="H42" s="58"/>
      <c r="I42" s="58"/>
      <c r="J42" s="58"/>
      <c r="K42" s="58"/>
    </row>
    <row r="43" spans="1:11">
      <c r="A43" s="13" t="s">
        <v>112</v>
      </c>
      <c r="B43" s="32" t="s">
        <v>113</v>
      </c>
      <c r="C43" s="32"/>
      <c r="D43" s="58"/>
      <c r="E43" s="58"/>
      <c r="F43" s="58"/>
      <c r="G43" s="58"/>
      <c r="H43" s="58"/>
      <c r="I43" s="58"/>
      <c r="J43" s="58"/>
      <c r="K43" s="58"/>
    </row>
    <row r="44" spans="1:11" ht="13.15" customHeight="1">
      <c r="A44" s="13" t="s">
        <v>114</v>
      </c>
      <c r="B44" s="32" t="s">
        <v>115</v>
      </c>
      <c r="C44" s="32"/>
      <c r="D44" s="58"/>
      <c r="E44" s="58"/>
      <c r="F44" s="58"/>
      <c r="G44" s="58"/>
      <c r="H44" s="58"/>
      <c r="I44" s="58"/>
      <c r="J44" s="58"/>
      <c r="K44" s="58"/>
    </row>
    <row r="45" spans="1:11">
      <c r="A45" s="33" t="s">
        <v>116</v>
      </c>
      <c r="B45" s="32" t="s">
        <v>49</v>
      </c>
      <c r="C45" s="32"/>
      <c r="D45" s="58"/>
      <c r="E45" s="58"/>
      <c r="F45" s="58"/>
      <c r="G45" s="58"/>
      <c r="H45" s="58"/>
      <c r="I45" s="58"/>
      <c r="J45" s="58"/>
      <c r="K45" s="58"/>
    </row>
    <row r="46" spans="1:11">
      <c r="A46" s="33" t="s">
        <v>117</v>
      </c>
      <c r="B46" s="32" t="s">
        <v>273</v>
      </c>
      <c r="C46" s="32"/>
      <c r="D46" s="58"/>
      <c r="E46" s="58"/>
      <c r="F46" s="58"/>
      <c r="G46" s="58"/>
      <c r="H46" s="58"/>
      <c r="I46" s="58"/>
      <c r="J46" s="58"/>
      <c r="K46" s="58"/>
    </row>
    <row r="47" spans="1:11">
      <c r="A47" s="34" t="s">
        <v>118</v>
      </c>
      <c r="B47" s="35" t="s">
        <v>278</v>
      </c>
      <c r="C47" s="35"/>
      <c r="D47" s="29">
        <f>SUM(D39:D46)</f>
        <v>0</v>
      </c>
      <c r="E47" s="29">
        <f t="shared" ref="E47:K47" si="9">SUM(E39:E46)</f>
        <v>0</v>
      </c>
      <c r="F47" s="29">
        <f t="shared" si="9"/>
        <v>0</v>
      </c>
      <c r="G47" s="29">
        <f t="shared" si="9"/>
        <v>0</v>
      </c>
      <c r="H47" s="29">
        <f t="shared" si="9"/>
        <v>0</v>
      </c>
      <c r="I47" s="29">
        <f t="shared" si="9"/>
        <v>0</v>
      </c>
      <c r="J47" s="29">
        <f t="shared" si="9"/>
        <v>0</v>
      </c>
      <c r="K47" s="29">
        <f t="shared" si="9"/>
        <v>0</v>
      </c>
    </row>
    <row r="48" spans="1:11" ht="16.149999999999999" customHeight="1">
      <c r="A48" s="15" t="s">
        <v>119</v>
      </c>
      <c r="B48" s="16" t="s">
        <v>120</v>
      </c>
      <c r="C48" s="3"/>
      <c r="D48" s="14"/>
      <c r="E48" s="14"/>
      <c r="F48" s="14"/>
      <c r="G48" s="26"/>
      <c r="H48" s="27"/>
      <c r="I48" s="14"/>
      <c r="J48" s="28"/>
      <c r="K48" s="14"/>
    </row>
    <row r="49" spans="1:11" ht="18.75" customHeight="1">
      <c r="A49" s="6" t="s">
        <v>121</v>
      </c>
      <c r="B49" s="403" t="s">
        <v>265</v>
      </c>
      <c r="C49" s="404"/>
      <c r="D49" s="58"/>
      <c r="E49" s="58"/>
      <c r="F49" s="58"/>
      <c r="G49" s="58"/>
      <c r="H49" s="58"/>
      <c r="I49" s="58"/>
      <c r="J49" s="58"/>
      <c r="K49" s="58"/>
    </row>
    <row r="50" spans="1:11" ht="26.25" customHeight="1">
      <c r="A50" s="6" t="s">
        <v>122</v>
      </c>
      <c r="B50" s="403" t="s">
        <v>266</v>
      </c>
      <c r="C50" s="404"/>
      <c r="D50" s="58"/>
      <c r="E50" s="58"/>
      <c r="F50" s="58"/>
      <c r="G50" s="58"/>
      <c r="H50" s="58"/>
      <c r="I50" s="58"/>
      <c r="J50" s="58"/>
      <c r="K50" s="58"/>
    </row>
    <row r="51" spans="1:11">
      <c r="A51" s="2" t="s">
        <v>123</v>
      </c>
      <c r="B51" s="7" t="s">
        <v>285</v>
      </c>
      <c r="C51" s="7"/>
      <c r="D51" s="29">
        <f>SUM(D49:D50)</f>
        <v>0</v>
      </c>
      <c r="E51" s="29">
        <f t="shared" ref="E51:K51" si="10">SUM(E49:E50)</f>
        <v>0</v>
      </c>
      <c r="F51" s="29">
        <f t="shared" si="10"/>
        <v>0</v>
      </c>
      <c r="G51" s="29">
        <f t="shared" si="10"/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 t="shared" si="10"/>
        <v>0</v>
      </c>
    </row>
    <row r="52" spans="1:11" ht="19.5" customHeight="1">
      <c r="A52" s="15" t="s">
        <v>279</v>
      </c>
      <c r="B52" s="405" t="s">
        <v>283</v>
      </c>
      <c r="C52" s="406"/>
      <c r="D52" s="14"/>
      <c r="E52" s="14"/>
      <c r="F52" s="14"/>
      <c r="G52" s="26"/>
      <c r="H52" s="27"/>
      <c r="I52" s="14"/>
      <c r="J52" s="28"/>
      <c r="K52" s="14"/>
    </row>
    <row r="53" spans="1:11" ht="15.75" customHeight="1">
      <c r="A53" s="6" t="s">
        <v>280</v>
      </c>
      <c r="B53" s="403" t="s">
        <v>282</v>
      </c>
      <c r="C53" s="404"/>
      <c r="D53" s="58"/>
      <c r="E53" s="58"/>
      <c r="F53" s="58"/>
      <c r="G53" s="58"/>
      <c r="H53" s="58"/>
      <c r="I53" s="58"/>
      <c r="J53" s="58"/>
      <c r="K53" s="58"/>
    </row>
    <row r="54" spans="1:11" ht="15" customHeight="1" thickBot="1">
      <c r="A54" s="6" t="s">
        <v>281</v>
      </c>
      <c r="B54" s="403" t="s">
        <v>284</v>
      </c>
      <c r="C54" s="404"/>
      <c r="D54" s="58"/>
      <c r="E54" s="58"/>
      <c r="F54" s="58"/>
      <c r="G54" s="58"/>
      <c r="H54" s="58"/>
      <c r="I54" s="58"/>
      <c r="J54" s="58"/>
      <c r="K54" s="58"/>
    </row>
    <row r="55" spans="1:11" ht="20.25" customHeight="1" thickBot="1">
      <c r="A55" s="17" t="s">
        <v>124</v>
      </c>
      <c r="B55" s="414" t="s">
        <v>149</v>
      </c>
      <c r="C55" s="415"/>
      <c r="D55" s="36" t="e">
        <f xml:space="preserve"> D13+D37+D47+D51+D53+D54</f>
        <v>#VALUE!</v>
      </c>
      <c r="E55" s="36" t="e">
        <f t="shared" ref="E55:K55" si="11" xml:space="preserve"> E13+E37+E47+E51+E53+E54</f>
        <v>#VALUE!</v>
      </c>
      <c r="F55" s="36" t="e">
        <f t="shared" si="11"/>
        <v>#VALUE!</v>
      </c>
      <c r="G55" s="36" t="e">
        <f t="shared" si="11"/>
        <v>#VALUE!</v>
      </c>
      <c r="H55" s="36" t="e">
        <f t="shared" si="11"/>
        <v>#VALUE!</v>
      </c>
      <c r="I55" s="36" t="e">
        <f t="shared" si="11"/>
        <v>#VALUE!</v>
      </c>
      <c r="J55" s="36" t="e">
        <f t="shared" si="11"/>
        <v>#VALUE!</v>
      </c>
      <c r="K55" s="36" t="e">
        <f t="shared" si="11"/>
        <v>#VALUE!</v>
      </c>
    </row>
    <row r="56" spans="1:11" ht="15.75" customHeight="1" thickBot="1">
      <c r="A56" s="17" t="s">
        <v>286</v>
      </c>
      <c r="B56" s="190"/>
      <c r="C56" s="190"/>
      <c r="D56" s="36" t="e">
        <f>D32+D47+D51+D53+D54</f>
        <v>#VALUE!</v>
      </c>
      <c r="E56" s="36" t="e">
        <f t="shared" ref="E56:K56" si="12">E32+E47+E51+E53+E54</f>
        <v>#VALUE!</v>
      </c>
      <c r="F56" s="36" t="e">
        <f t="shared" si="12"/>
        <v>#VALUE!</v>
      </c>
      <c r="G56" s="36" t="e">
        <f t="shared" si="12"/>
        <v>#VALUE!</v>
      </c>
      <c r="H56" s="36" t="e">
        <f t="shared" si="12"/>
        <v>#VALUE!</v>
      </c>
      <c r="I56" s="36" t="e">
        <f t="shared" si="12"/>
        <v>#VALUE!</v>
      </c>
      <c r="J56" s="36" t="e">
        <f t="shared" si="12"/>
        <v>#VALUE!</v>
      </c>
      <c r="K56" s="36" t="e">
        <f t="shared" si="12"/>
        <v>#VALUE!</v>
      </c>
    </row>
    <row r="57" spans="1:11" ht="20.45" customHeight="1" thickBot="1">
      <c r="A57" s="17"/>
      <c r="B57" s="18" t="s">
        <v>104</v>
      </c>
      <c r="C57" s="19"/>
      <c r="D57" s="36" t="e">
        <f t="shared" ref="D57:K57" si="13">D55</f>
        <v>#VALUE!</v>
      </c>
      <c r="E57" s="36" t="e">
        <f t="shared" si="13"/>
        <v>#VALUE!</v>
      </c>
      <c r="F57" s="36" t="e">
        <f t="shared" si="13"/>
        <v>#VALUE!</v>
      </c>
      <c r="G57" s="36" t="e">
        <f t="shared" si="13"/>
        <v>#VALUE!</v>
      </c>
      <c r="H57" s="36" t="e">
        <f t="shared" si="13"/>
        <v>#VALUE!</v>
      </c>
      <c r="I57" s="36" t="e">
        <f t="shared" si="13"/>
        <v>#VALUE!</v>
      </c>
      <c r="J57" s="36" t="e">
        <f t="shared" si="13"/>
        <v>#VALUE!</v>
      </c>
      <c r="K57" s="36" t="e">
        <f t="shared" si="13"/>
        <v>#VALUE!</v>
      </c>
    </row>
    <row r="58" spans="1:11" ht="6" customHeight="1">
      <c r="A58" s="4"/>
      <c r="B58" s="5"/>
      <c r="C58" s="5"/>
      <c r="D58" s="310"/>
      <c r="E58" s="310"/>
      <c r="F58" s="310"/>
      <c r="G58" s="310"/>
      <c r="H58" s="310"/>
      <c r="I58" s="310"/>
      <c r="J58" s="310"/>
      <c r="K58" s="310"/>
    </row>
    <row r="59" spans="1:11" ht="20.45" customHeight="1" thickBot="1">
      <c r="A59" s="15"/>
      <c r="B59" s="7"/>
      <c r="C59" s="7"/>
      <c r="D59" s="22">
        <f t="shared" ref="D59:K59" si="14">D10</f>
        <v>0</v>
      </c>
      <c r="E59" s="22">
        <f t="shared" si="14"/>
        <v>1</v>
      </c>
      <c r="F59" s="22">
        <f t="shared" si="14"/>
        <v>2</v>
      </c>
      <c r="G59" s="22">
        <f t="shared" si="14"/>
        <v>3</v>
      </c>
      <c r="H59" s="22">
        <f t="shared" si="14"/>
        <v>4</v>
      </c>
      <c r="I59" s="22">
        <f t="shared" si="14"/>
        <v>5</v>
      </c>
      <c r="J59" s="22">
        <f t="shared" si="14"/>
        <v>6</v>
      </c>
      <c r="K59" s="22">
        <f t="shared" si="14"/>
        <v>7</v>
      </c>
    </row>
    <row r="60" spans="1:11" ht="20.45" customHeight="1" thickBot="1">
      <c r="A60" s="17"/>
      <c r="B60" s="18" t="s">
        <v>104</v>
      </c>
      <c r="C60" s="19"/>
      <c r="D60" s="36" t="e">
        <f t="shared" ref="D60:K60" si="15">D57</f>
        <v>#VALUE!</v>
      </c>
      <c r="E60" s="36" t="e">
        <f t="shared" si="15"/>
        <v>#VALUE!</v>
      </c>
      <c r="F60" s="36" t="e">
        <f t="shared" si="15"/>
        <v>#VALUE!</v>
      </c>
      <c r="G60" s="36" t="e">
        <f t="shared" si="15"/>
        <v>#VALUE!</v>
      </c>
      <c r="H60" s="36" t="e">
        <f t="shared" si="15"/>
        <v>#VALUE!</v>
      </c>
      <c r="I60" s="36" t="e">
        <f t="shared" si="15"/>
        <v>#VALUE!</v>
      </c>
      <c r="J60" s="36" t="e">
        <f t="shared" si="15"/>
        <v>#VALUE!</v>
      </c>
      <c r="K60" s="36" t="e">
        <f t="shared" si="15"/>
        <v>#VALUE!</v>
      </c>
    </row>
    <row r="61" spans="1:11" ht="20.45" customHeight="1" thickBot="1">
      <c r="A61" s="17" t="s">
        <v>88</v>
      </c>
      <c r="B61" s="18" t="s">
        <v>125</v>
      </c>
      <c r="C61" s="19"/>
      <c r="D61" s="313">
        <v>1</v>
      </c>
      <c r="E61" s="313">
        <f>D61/(100+$D$8)*100</f>
        <v>1</v>
      </c>
      <c r="F61" s="313">
        <f t="shared" ref="F61:I61" si="16">E61/(100+$D$8)*100</f>
        <v>1</v>
      </c>
      <c r="G61" s="313">
        <f t="shared" si="16"/>
        <v>1</v>
      </c>
      <c r="H61" s="313">
        <f t="shared" si="16"/>
        <v>1</v>
      </c>
      <c r="I61" s="313">
        <f t="shared" si="16"/>
        <v>1</v>
      </c>
      <c r="J61" s="313">
        <f>I61/(100+$D$8)*100</f>
        <v>1</v>
      </c>
      <c r="K61" s="313">
        <f>J61/(100+$D$8)*100</f>
        <v>1</v>
      </c>
    </row>
    <row r="62" spans="1:11" ht="20.45" customHeight="1" thickBot="1">
      <c r="A62" s="17" t="s">
        <v>92</v>
      </c>
      <c r="B62" s="18" t="s">
        <v>150</v>
      </c>
      <c r="C62" s="19"/>
      <c r="D62" s="36" t="e">
        <f>D60*D61</f>
        <v>#VALUE!</v>
      </c>
      <c r="E62" s="36" t="e">
        <f>E60*E61</f>
        <v>#VALUE!</v>
      </c>
      <c r="F62" s="36" t="e">
        <f t="shared" ref="F62:K62" si="17">F60*F61</f>
        <v>#VALUE!</v>
      </c>
      <c r="G62" s="36" t="e">
        <f t="shared" si="17"/>
        <v>#VALUE!</v>
      </c>
      <c r="H62" s="36" t="e">
        <f t="shared" si="17"/>
        <v>#VALUE!</v>
      </c>
      <c r="I62" s="36" t="e">
        <f t="shared" si="17"/>
        <v>#VALUE!</v>
      </c>
      <c r="J62" s="36" t="e">
        <f t="shared" si="17"/>
        <v>#VALUE!</v>
      </c>
      <c r="K62" s="36" t="e">
        <f t="shared" si="17"/>
        <v>#VALUE!</v>
      </c>
    </row>
    <row r="63" spans="1:11" ht="20.45" customHeight="1">
      <c r="A63" s="40" t="s">
        <v>101</v>
      </c>
      <c r="B63" s="41" t="s">
        <v>126</v>
      </c>
      <c r="C63" s="42"/>
      <c r="D63" s="26"/>
      <c r="E63" s="26"/>
      <c r="F63" s="26"/>
      <c r="G63" s="26"/>
      <c r="H63" s="27"/>
      <c r="I63" s="14"/>
      <c r="J63" s="28"/>
      <c r="K63" s="14"/>
    </row>
    <row r="64" spans="1:11" ht="14.25" customHeight="1">
      <c r="A64" s="6" t="s">
        <v>127</v>
      </c>
      <c r="B64" s="5" t="s">
        <v>98</v>
      </c>
      <c r="C64" s="5"/>
      <c r="D64" s="58"/>
      <c r="E64" s="58"/>
      <c r="F64" s="58"/>
      <c r="G64" s="58"/>
      <c r="H64" s="58"/>
      <c r="I64" s="58"/>
      <c r="J64" s="58"/>
      <c r="K64" s="58"/>
    </row>
    <row r="65" spans="1:11">
      <c r="A65" s="6" t="s">
        <v>128</v>
      </c>
      <c r="B65" s="5" t="s">
        <v>83</v>
      </c>
      <c r="C65" s="5"/>
      <c r="D65" s="58"/>
      <c r="E65" s="58"/>
      <c r="F65" s="58"/>
      <c r="G65" s="58"/>
      <c r="H65" s="58"/>
      <c r="I65" s="58"/>
      <c r="J65" s="58"/>
      <c r="K65" s="58"/>
    </row>
    <row r="66" spans="1:11">
      <c r="A66" s="6" t="s">
        <v>129</v>
      </c>
      <c r="B66" s="5" t="s">
        <v>130</v>
      </c>
      <c r="C66" s="5"/>
      <c r="D66" s="58"/>
      <c r="E66" s="58"/>
      <c r="F66" s="58"/>
      <c r="G66" s="58"/>
      <c r="H66" s="58"/>
      <c r="I66" s="58"/>
      <c r="J66" s="58"/>
      <c r="K66" s="58"/>
    </row>
    <row r="67" spans="1:11">
      <c r="A67" s="6" t="s">
        <v>131</v>
      </c>
      <c r="B67" s="5" t="s">
        <v>85</v>
      </c>
      <c r="C67" s="5"/>
      <c r="D67" s="58"/>
      <c r="E67" s="58"/>
      <c r="F67" s="58"/>
      <c r="G67" s="58"/>
      <c r="H67" s="58"/>
      <c r="I67" s="58"/>
      <c r="J67" s="58"/>
      <c r="K67" s="58"/>
    </row>
    <row r="68" spans="1:11">
      <c r="A68" s="6" t="s">
        <v>132</v>
      </c>
      <c r="B68" s="5" t="s">
        <v>133</v>
      </c>
      <c r="C68" s="5" t="s">
        <v>154</v>
      </c>
      <c r="D68" s="58"/>
      <c r="E68" s="58"/>
      <c r="F68" s="58"/>
      <c r="G68" s="58"/>
      <c r="H68" s="58"/>
      <c r="I68" s="58"/>
      <c r="J68" s="58"/>
      <c r="K68" s="58"/>
    </row>
    <row r="69" spans="1:11" ht="13.5" thickBot="1">
      <c r="A69" s="6" t="s">
        <v>134</v>
      </c>
      <c r="B69" s="5" t="s">
        <v>133</v>
      </c>
      <c r="C69" s="5" t="s">
        <v>154</v>
      </c>
      <c r="D69" s="57"/>
      <c r="E69" s="57"/>
      <c r="F69" s="57"/>
      <c r="G69" s="61"/>
      <c r="H69" s="59"/>
      <c r="I69" s="57"/>
      <c r="J69" s="60"/>
      <c r="K69" s="61"/>
    </row>
    <row r="70" spans="1:11" ht="13.5" thickBot="1">
      <c r="A70" s="17" t="s">
        <v>135</v>
      </c>
      <c r="B70" s="18" t="s">
        <v>152</v>
      </c>
      <c r="C70" s="18"/>
      <c r="D70" s="31">
        <f>SUM(D64:D69)</f>
        <v>0</v>
      </c>
      <c r="E70" s="31">
        <f t="shared" ref="E70:K70" si="18">SUM(E64:E69)</f>
        <v>0</v>
      </c>
      <c r="F70" s="31">
        <f t="shared" si="18"/>
        <v>0</v>
      </c>
      <c r="G70" s="31">
        <f t="shared" si="18"/>
        <v>0</v>
      </c>
      <c r="H70" s="31">
        <f t="shared" si="18"/>
        <v>0</v>
      </c>
      <c r="I70" s="31">
        <f t="shared" si="18"/>
        <v>0</v>
      </c>
      <c r="J70" s="31">
        <f t="shared" si="18"/>
        <v>0</v>
      </c>
      <c r="K70" s="31">
        <f t="shared" si="18"/>
        <v>0</v>
      </c>
    </row>
    <row r="71" spans="1:11" ht="13.5" thickBot="1">
      <c r="A71" s="17" t="s">
        <v>136</v>
      </c>
      <c r="B71" s="18" t="s">
        <v>125</v>
      </c>
      <c r="C71" s="18"/>
      <c r="D71" s="313">
        <f t="shared" ref="D71:K71" si="19">D61</f>
        <v>1</v>
      </c>
      <c r="E71" s="313">
        <f t="shared" si="19"/>
        <v>1</v>
      </c>
      <c r="F71" s="313">
        <f t="shared" si="19"/>
        <v>1</v>
      </c>
      <c r="G71" s="313">
        <f t="shared" si="19"/>
        <v>1</v>
      </c>
      <c r="H71" s="313">
        <f t="shared" si="19"/>
        <v>1</v>
      </c>
      <c r="I71" s="313">
        <f t="shared" si="19"/>
        <v>1</v>
      </c>
      <c r="J71" s="313">
        <f t="shared" si="19"/>
        <v>1</v>
      </c>
      <c r="K71" s="313">
        <f t="shared" si="19"/>
        <v>1</v>
      </c>
    </row>
    <row r="72" spans="1:11" ht="13.5" thickBot="1">
      <c r="A72" s="17" t="s">
        <v>137</v>
      </c>
      <c r="B72" s="37" t="s">
        <v>138</v>
      </c>
      <c r="C72" s="37"/>
      <c r="D72" s="31">
        <f>D70*D71</f>
        <v>0</v>
      </c>
      <c r="E72" s="31">
        <f t="shared" ref="E72:K72" si="20">E70*E71</f>
        <v>0</v>
      </c>
      <c r="F72" s="31">
        <f t="shared" si="20"/>
        <v>0</v>
      </c>
      <c r="G72" s="31">
        <f t="shared" si="20"/>
        <v>0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</row>
    <row r="73" spans="1:11" ht="13.5" thickBot="1">
      <c r="A73" s="314"/>
      <c r="B73" s="314"/>
      <c r="C73" s="314"/>
      <c r="D73" s="27"/>
      <c r="E73" s="27"/>
      <c r="F73" s="27"/>
      <c r="G73" s="27"/>
      <c r="H73" s="27"/>
      <c r="I73" s="27"/>
      <c r="J73" s="27"/>
      <c r="K73" s="27"/>
    </row>
    <row r="74" spans="1:11" ht="18.75" customHeight="1" thickBot="1">
      <c r="A74" s="197" t="s">
        <v>139</v>
      </c>
      <c r="B74" s="198"/>
      <c r="C74" s="197"/>
      <c r="D74" s="30"/>
      <c r="E74" s="8"/>
      <c r="F74" s="8"/>
      <c r="G74" s="401">
        <f>SUM(D72:K72)</f>
        <v>0</v>
      </c>
      <c r="H74" s="402"/>
    </row>
    <row r="75" spans="1:11" ht="17.25" customHeight="1" thickBot="1">
      <c r="A75" s="199" t="s">
        <v>151</v>
      </c>
      <c r="B75" s="200"/>
      <c r="C75" s="199"/>
      <c r="D75" s="8"/>
      <c r="E75" s="8"/>
      <c r="F75" s="8"/>
      <c r="G75" s="401" t="e">
        <f>SUM(D62:K62)</f>
        <v>#VALUE!</v>
      </c>
      <c r="H75" s="402"/>
    </row>
    <row r="76" spans="1:11" ht="18" customHeight="1" thickBot="1">
      <c r="A76" s="199" t="s">
        <v>140</v>
      </c>
      <c r="B76" s="200"/>
      <c r="C76" s="199"/>
      <c r="D76" s="8"/>
      <c r="E76" s="8"/>
      <c r="F76" s="8"/>
      <c r="G76" s="401" t="e">
        <f>G74-G75</f>
        <v>#VALUE!</v>
      </c>
      <c r="H76" s="402"/>
    </row>
    <row r="77" spans="1:11">
      <c r="C77" s="55" t="s">
        <v>274</v>
      </c>
      <c r="D77" s="185" t="e">
        <f>D72-D62</f>
        <v>#VALUE!</v>
      </c>
      <c r="E77" s="185" t="e">
        <f t="shared" ref="E77:I77" si="21">E72-E62+D77</f>
        <v>#VALUE!</v>
      </c>
      <c r="F77" s="185" t="e">
        <f t="shared" si="21"/>
        <v>#VALUE!</v>
      </c>
      <c r="G77" s="185" t="e">
        <f t="shared" si="21"/>
        <v>#VALUE!</v>
      </c>
      <c r="H77" s="185" t="e">
        <f t="shared" si="21"/>
        <v>#VALUE!</v>
      </c>
      <c r="I77" s="185" t="e">
        <f t="shared" si="21"/>
        <v>#VALUE!</v>
      </c>
      <c r="J77" s="185" t="e">
        <f>J72-J62+I77</f>
        <v>#VALUE!</v>
      </c>
      <c r="K77" s="185" t="e">
        <f>K72-K62+J77</f>
        <v>#VALUE!</v>
      </c>
    </row>
    <row r="78" spans="1:11" ht="14.25" customHeight="1">
      <c r="A78" s="75" t="s">
        <v>158</v>
      </c>
      <c r="B78" s="21"/>
    </row>
    <row r="79" spans="1:11" ht="14.25" customHeight="1">
      <c r="A79" s="184" t="s">
        <v>90</v>
      </c>
      <c r="B79" s="75" t="s">
        <v>219</v>
      </c>
    </row>
    <row r="80" spans="1:11">
      <c r="A80" s="318"/>
      <c r="B80" s="81"/>
      <c r="C80" s="319"/>
      <c r="D80" s="319"/>
      <c r="E80" s="319"/>
    </row>
    <row r="81" spans="1:5">
      <c r="A81" s="320" t="s">
        <v>361</v>
      </c>
      <c r="B81" s="81"/>
      <c r="C81" s="319"/>
      <c r="D81" s="319"/>
      <c r="E81" s="319"/>
    </row>
    <row r="82" spans="1:5">
      <c r="A82" s="319" t="s">
        <v>6</v>
      </c>
      <c r="B82" s="319" t="s">
        <v>362</v>
      </c>
      <c r="C82" s="319"/>
      <c r="D82" s="319"/>
      <c r="E82" s="319"/>
    </row>
    <row r="83" spans="1:5">
      <c r="A83" s="319"/>
      <c r="B83" s="319" t="s">
        <v>364</v>
      </c>
      <c r="C83" s="319"/>
      <c r="D83" s="319"/>
      <c r="E83" s="319"/>
    </row>
    <row r="84" spans="1:5">
      <c r="A84" s="319" t="s">
        <v>32</v>
      </c>
      <c r="B84" s="319" t="s">
        <v>363</v>
      </c>
      <c r="C84" s="319"/>
      <c r="D84" s="319"/>
      <c r="E84" s="319"/>
    </row>
    <row r="85" spans="1:5">
      <c r="A85" s="319" t="s">
        <v>78</v>
      </c>
      <c r="B85" s="319" t="s">
        <v>365</v>
      </c>
      <c r="C85" s="319"/>
      <c r="D85" s="319"/>
      <c r="E85" s="319"/>
    </row>
    <row r="86" spans="1:5">
      <c r="A86" s="319"/>
      <c r="B86" s="319"/>
      <c r="C86" s="319"/>
      <c r="D86" s="319"/>
      <c r="E86" s="319"/>
    </row>
    <row r="87" spans="1:5">
      <c r="A87" s="319"/>
      <c r="B87" s="319"/>
      <c r="C87" s="319"/>
      <c r="D87" s="319"/>
      <c r="E87" s="319"/>
    </row>
    <row r="88" spans="1:5">
      <c r="A88" s="319"/>
      <c r="B88" s="319"/>
      <c r="C88" s="319"/>
      <c r="D88" s="319"/>
      <c r="E88" s="319"/>
    </row>
    <row r="89" spans="1:5">
      <c r="A89" s="319"/>
      <c r="B89" s="319"/>
      <c r="C89" s="319"/>
      <c r="D89" s="319"/>
      <c r="E89" s="319"/>
    </row>
    <row r="90" spans="1:5">
      <c r="A90" s="319"/>
      <c r="B90" s="319"/>
      <c r="C90" s="319"/>
      <c r="D90" s="319"/>
      <c r="E90" s="319"/>
    </row>
    <row r="91" spans="1:5">
      <c r="A91" s="319"/>
      <c r="B91" s="319"/>
      <c r="C91" s="319"/>
      <c r="D91" s="319"/>
      <c r="E91" s="319"/>
    </row>
    <row r="92" spans="1:5">
      <c r="A92" s="319"/>
      <c r="B92" s="319"/>
      <c r="C92" s="319"/>
      <c r="D92" s="319"/>
      <c r="E92" s="319"/>
    </row>
    <row r="93" spans="1:5">
      <c r="A93" s="319"/>
      <c r="B93" s="319"/>
      <c r="C93" s="319"/>
      <c r="D93" s="319"/>
      <c r="E93" s="319"/>
    </row>
    <row r="94" spans="1:5">
      <c r="A94" s="319"/>
      <c r="B94" s="319"/>
      <c r="C94" s="319"/>
      <c r="D94" s="319"/>
      <c r="E94" s="319"/>
    </row>
    <row r="95" spans="1:5">
      <c r="A95" s="319"/>
      <c r="B95" s="319"/>
      <c r="C95" s="319"/>
      <c r="D95" s="319"/>
      <c r="E95" s="319"/>
    </row>
    <row r="96" spans="1:5">
      <c r="A96" s="319"/>
      <c r="B96" s="319"/>
      <c r="C96" s="319"/>
      <c r="D96" s="319"/>
      <c r="E96" s="319"/>
    </row>
    <row r="97" spans="1:5">
      <c r="A97" s="319"/>
      <c r="B97" s="319"/>
      <c r="C97" s="319"/>
      <c r="D97" s="319"/>
      <c r="E97" s="319"/>
    </row>
  </sheetData>
  <customSheetViews>
    <customSheetView guid="{1CC00BDA-F26F-4B2F-9920-976F9DA01936}" showRuler="0">
      <selection activeCell="D5" sqref="D5"/>
      <rowBreaks count="2" manualBreakCount="2">
        <brk id="27" max="16383" man="1"/>
        <brk id="45" max="16383" man="1"/>
      </rowBreaks>
      <pageMargins left="0.78740157499999996" right="0.78740157499999996" top="0.984251969" bottom="0.984251969" header="0.4921259845" footer="0.4921259845"/>
      <pageSetup paperSize="9" orientation="landscape" horizontalDpi="0" verticalDpi="200" r:id="rId1"/>
      <headerFooter alignWithMargins="0"/>
    </customSheetView>
  </customSheetViews>
  <mergeCells count="23">
    <mergeCell ref="G75:H75"/>
    <mergeCell ref="G76:H76"/>
    <mergeCell ref="A2:C2"/>
    <mergeCell ref="H1:I1"/>
    <mergeCell ref="A6:C6"/>
    <mergeCell ref="A7:C7"/>
    <mergeCell ref="A8:C8"/>
    <mergeCell ref="B11:C11"/>
    <mergeCell ref="B12:C12"/>
    <mergeCell ref="A3:C3"/>
    <mergeCell ref="A4:C4"/>
    <mergeCell ref="A5:C5"/>
    <mergeCell ref="B49:C49"/>
    <mergeCell ref="B50:C50"/>
    <mergeCell ref="B55:C55"/>
    <mergeCell ref="B53:C53"/>
    <mergeCell ref="D3:I3"/>
    <mergeCell ref="D4:I4"/>
    <mergeCell ref="D5:I5"/>
    <mergeCell ref="A1:C1"/>
    <mergeCell ref="G74:H74"/>
    <mergeCell ref="B54:C54"/>
    <mergeCell ref="B52:C52"/>
  </mergeCells>
  <phoneticPr fontId="0" type="noConversion"/>
  <hyperlinks>
    <hyperlink ref="H1" location="Inhalt!A1" display="zurück zum Inhalt"/>
  </hyperlinks>
  <pageMargins left="0.78740157499999996" right="0.78740157499999996" top="0.984251969" bottom="0.984251969" header="0.4921259845" footer="0.4921259845"/>
  <pageSetup paperSize="9" scale="80" orientation="landscape" verticalDpi="200" r:id="rId2"/>
  <headerFooter alignWithMargins="0"/>
  <rowBreaks count="2" manualBreakCount="2">
    <brk id="35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F2" sqref="F2"/>
    </sheetView>
  </sheetViews>
  <sheetFormatPr baseColWidth="10" defaultRowHeight="12.75"/>
  <cols>
    <col min="1" max="1" width="11" style="95" bestFit="1" customWidth="1"/>
    <col min="2" max="2" width="57.28515625" style="95" bestFit="1" customWidth="1"/>
    <col min="3" max="3" width="13.85546875" style="95" customWidth="1"/>
    <col min="4" max="4" width="15.140625" style="95" customWidth="1"/>
    <col min="5" max="5" width="13.5703125" style="95" bestFit="1" customWidth="1"/>
    <col min="6" max="7" width="13.7109375" style="95" customWidth="1"/>
    <col min="8" max="8" width="13.5703125" style="95" bestFit="1" customWidth="1"/>
  </cols>
  <sheetData>
    <row r="1" spans="1:15" ht="19.899999999999999" customHeight="1">
      <c r="A1" s="416" t="s">
        <v>305</v>
      </c>
      <c r="B1" s="417"/>
      <c r="C1" s="417"/>
      <c r="D1" s="417"/>
      <c r="E1" s="417"/>
      <c r="F1" s="417"/>
      <c r="G1" s="417"/>
      <c r="H1" s="209" t="s">
        <v>276</v>
      </c>
    </row>
    <row r="2" spans="1:15" ht="31.5" customHeight="1">
      <c r="A2" s="192"/>
      <c r="B2" s="208"/>
      <c r="C2" s="208"/>
      <c r="D2" s="208"/>
      <c r="E2" s="208"/>
      <c r="F2" s="307" t="s">
        <v>353</v>
      </c>
      <c r="G2" s="79"/>
      <c r="H2" s="210"/>
    </row>
    <row r="3" spans="1:15" ht="22.15" customHeight="1">
      <c r="A3" s="98" t="s">
        <v>0</v>
      </c>
      <c r="B3" s="211"/>
      <c r="C3" s="212"/>
      <c r="D3" s="212"/>
      <c r="E3" s="213" t="s">
        <v>331</v>
      </c>
      <c r="F3" s="214"/>
      <c r="G3" s="214"/>
      <c r="H3" s="215" t="s">
        <v>1</v>
      </c>
      <c r="J3" s="216"/>
      <c r="K3" s="217"/>
      <c r="L3" s="217"/>
      <c r="M3" s="217"/>
      <c r="N3" s="217"/>
      <c r="O3" s="217"/>
    </row>
    <row r="4" spans="1:15" ht="18.600000000000001" customHeight="1">
      <c r="A4" s="98" t="s">
        <v>2</v>
      </c>
      <c r="B4" s="211"/>
      <c r="C4" s="218"/>
      <c r="D4" s="218"/>
      <c r="E4" s="279"/>
      <c r="F4" s="280">
        <f>E4+1</f>
        <v>1</v>
      </c>
      <c r="G4" s="280">
        <f t="shared" ref="G4:H4" si="0">F4+1</f>
        <v>2</v>
      </c>
      <c r="H4" s="281">
        <f t="shared" si="0"/>
        <v>3</v>
      </c>
      <c r="J4" s="217"/>
      <c r="K4" s="217"/>
      <c r="L4" s="217"/>
      <c r="M4" s="217"/>
      <c r="N4" s="217"/>
      <c r="O4" s="217"/>
    </row>
    <row r="5" spans="1:15" ht="20.45" customHeight="1">
      <c r="A5" s="104" t="s">
        <v>6</v>
      </c>
      <c r="B5" s="82" t="s">
        <v>7</v>
      </c>
      <c r="C5" s="219"/>
      <c r="D5" s="219"/>
      <c r="E5" s="220"/>
      <c r="F5" s="220"/>
      <c r="G5" s="220"/>
      <c r="H5" s="220"/>
      <c r="J5" s="217"/>
      <c r="K5" s="217"/>
      <c r="L5" s="217"/>
      <c r="M5" s="217"/>
      <c r="N5" s="217"/>
      <c r="O5" s="217"/>
    </row>
    <row r="6" spans="1:15" ht="15" customHeight="1">
      <c r="A6" s="106" t="s">
        <v>8</v>
      </c>
      <c r="B6" s="107" t="s">
        <v>195</v>
      </c>
      <c r="C6" s="221"/>
      <c r="D6" s="221"/>
      <c r="E6" s="222"/>
      <c r="F6" s="222"/>
      <c r="G6" s="222"/>
      <c r="H6" s="222"/>
      <c r="J6" s="217"/>
      <c r="K6" s="217"/>
      <c r="L6" s="217"/>
      <c r="M6" s="217"/>
      <c r="N6" s="217"/>
      <c r="O6" s="217"/>
    </row>
    <row r="7" spans="1:15" ht="15" customHeight="1">
      <c r="A7" s="109" t="s">
        <v>9</v>
      </c>
      <c r="B7" s="86" t="s">
        <v>306</v>
      </c>
      <c r="C7" s="223"/>
      <c r="D7" s="223"/>
      <c r="E7" s="224"/>
      <c r="F7" s="224"/>
      <c r="G7" s="224"/>
      <c r="H7" s="224"/>
      <c r="J7" s="217"/>
      <c r="K7" s="217"/>
      <c r="L7" s="217"/>
      <c r="M7" s="217"/>
      <c r="N7" s="217"/>
      <c r="O7" s="217"/>
    </row>
    <row r="8" spans="1:15" ht="15" customHeight="1">
      <c r="A8" s="109" t="s">
        <v>11</v>
      </c>
      <c r="B8" s="86" t="s">
        <v>307</v>
      </c>
      <c r="C8" s="225"/>
      <c r="D8" s="225"/>
      <c r="E8" s="226"/>
      <c r="F8" s="226"/>
      <c r="G8" s="226"/>
      <c r="H8" s="226"/>
      <c r="J8" s="217"/>
      <c r="K8" s="217"/>
      <c r="L8" s="217"/>
      <c r="M8" s="217"/>
      <c r="N8" s="217"/>
      <c r="O8" s="217"/>
    </row>
    <row r="9" spans="1:15" ht="15" customHeight="1">
      <c r="A9" s="109" t="s">
        <v>13</v>
      </c>
      <c r="B9" s="86" t="s">
        <v>308</v>
      </c>
      <c r="C9" s="225"/>
      <c r="D9" s="225"/>
      <c r="E9" s="227">
        <f>E7*Personalhauptkosten!$B$69</f>
        <v>0</v>
      </c>
      <c r="F9" s="227">
        <f>F7*Personalhauptkosten!$B$69</f>
        <v>0</v>
      </c>
      <c r="G9" s="227">
        <f>G7*Personalhauptkosten!$B$69</f>
        <v>0</v>
      </c>
      <c r="H9" s="227">
        <f>H7*Personalhauptkosten!$B$69</f>
        <v>0</v>
      </c>
      <c r="J9" s="228"/>
      <c r="K9" s="228"/>
      <c r="L9" s="228"/>
      <c r="M9" s="228"/>
      <c r="N9" s="228"/>
      <c r="O9" s="228"/>
    </row>
    <row r="10" spans="1:15" ht="15" customHeight="1">
      <c r="A10" s="109" t="s">
        <v>15</v>
      </c>
      <c r="B10" s="86" t="s">
        <v>14</v>
      </c>
      <c r="C10" s="225"/>
      <c r="D10" s="225"/>
      <c r="E10" s="227">
        <f>E7*Personalhauptkosten!$C$73</f>
        <v>0</v>
      </c>
      <c r="F10" s="227">
        <f>F7*Personalhauptkosten!$C$73</f>
        <v>0</v>
      </c>
      <c r="G10" s="227">
        <f>G7*Personalhauptkosten!$C$73</f>
        <v>0</v>
      </c>
      <c r="H10" s="227">
        <f>H7*Personalhauptkosten!$C$73</f>
        <v>0</v>
      </c>
    </row>
    <row r="11" spans="1:15" ht="15" customHeight="1">
      <c r="A11" s="98" t="s">
        <v>309</v>
      </c>
      <c r="B11" s="80" t="s">
        <v>16</v>
      </c>
      <c r="C11" s="229"/>
      <c r="D11" s="229"/>
      <c r="E11" s="151">
        <f>SUM(E7:E10)</f>
        <v>0</v>
      </c>
      <c r="F11" s="151">
        <f>SUM(F7:F10)</f>
        <v>0</v>
      </c>
      <c r="G11" s="151">
        <f>SUM(G7:G10)</f>
        <v>0</v>
      </c>
      <c r="H11" s="151">
        <f>SUM(H7:H10)</f>
        <v>0</v>
      </c>
    </row>
    <row r="12" spans="1:15" ht="15" customHeight="1">
      <c r="A12" s="106" t="s">
        <v>17</v>
      </c>
      <c r="B12" s="107" t="s">
        <v>255</v>
      </c>
      <c r="C12" s="230"/>
      <c r="D12" s="230"/>
      <c r="E12" s="145"/>
      <c r="F12" s="145"/>
      <c r="G12" s="145"/>
      <c r="H12" s="145"/>
    </row>
    <row r="13" spans="1:15" ht="15" customHeight="1">
      <c r="A13" s="109" t="s">
        <v>18</v>
      </c>
      <c r="B13" s="86" t="s">
        <v>310</v>
      </c>
      <c r="C13" s="223"/>
      <c r="D13" s="223"/>
      <c r="E13" s="224"/>
      <c r="F13" s="224"/>
      <c r="G13" s="224"/>
      <c r="H13" s="224"/>
    </row>
    <row r="14" spans="1:15" ht="15" customHeight="1">
      <c r="A14" s="109" t="s">
        <v>20</v>
      </c>
      <c r="B14" s="119" t="s">
        <v>311</v>
      </c>
      <c r="C14" s="231"/>
      <c r="D14" s="231"/>
      <c r="E14" s="232">
        <f>E13*Personalhauptkosten!$D$69</f>
        <v>0</v>
      </c>
      <c r="F14" s="232">
        <f>F13*Personalhauptkosten!$D$69</f>
        <v>0</v>
      </c>
      <c r="G14" s="232">
        <f>G13*Personalhauptkosten!$D$69</f>
        <v>0</v>
      </c>
      <c r="H14" s="232">
        <f>H13*Personalhauptkosten!$D$69</f>
        <v>0</v>
      </c>
    </row>
    <row r="15" spans="1:15" ht="15" customHeight="1">
      <c r="A15" s="93" t="s">
        <v>22</v>
      </c>
      <c r="B15" s="79" t="s">
        <v>21</v>
      </c>
      <c r="C15" s="233"/>
      <c r="D15" s="233"/>
      <c r="E15" s="234" t="e">
        <f>E13*Personalhauptkosten!$B$72</f>
        <v>#VALUE!</v>
      </c>
      <c r="F15" s="234" t="e">
        <f>F13*Personalhauptkosten!$B$72</f>
        <v>#VALUE!</v>
      </c>
      <c r="G15" s="234" t="e">
        <f>G13*Personalhauptkosten!$B$72</f>
        <v>#VALUE!</v>
      </c>
      <c r="H15" s="234" t="e">
        <f>H13*Personalhauptkosten!$B$72</f>
        <v>#VALUE!</v>
      </c>
    </row>
    <row r="16" spans="1:15" ht="15" customHeight="1">
      <c r="A16" s="98" t="s">
        <v>216</v>
      </c>
      <c r="B16" s="80" t="s">
        <v>218</v>
      </c>
      <c r="C16" s="235"/>
      <c r="D16" s="235"/>
      <c r="E16" s="236" t="e">
        <f>SUM(E13:E15)</f>
        <v>#VALUE!</v>
      </c>
      <c r="F16" s="237" t="e">
        <f>SUM(F13:F15)</f>
        <v>#VALUE!</v>
      </c>
      <c r="G16" s="237" t="e">
        <f>SUM(G13:G15)</f>
        <v>#VALUE!</v>
      </c>
      <c r="H16" s="237" t="e">
        <f>SUM(H13:H15)</f>
        <v>#VALUE!</v>
      </c>
    </row>
    <row r="17" spans="1:17" ht="15" customHeight="1">
      <c r="A17" s="106" t="s">
        <v>23</v>
      </c>
      <c r="B17" s="107" t="s">
        <v>256</v>
      </c>
      <c r="C17" s="238"/>
      <c r="D17" s="239"/>
      <c r="E17" s="240"/>
      <c r="F17" s="240"/>
      <c r="G17" s="240"/>
      <c r="H17" s="240"/>
      <c r="J17" s="217"/>
      <c r="K17" s="217"/>
      <c r="L17" s="217"/>
      <c r="M17" s="217"/>
      <c r="N17" s="217"/>
      <c r="O17" s="217"/>
    </row>
    <row r="18" spans="1:17" s="1" customFormat="1" ht="15" customHeight="1">
      <c r="A18" s="119" t="s">
        <v>24</v>
      </c>
      <c r="B18" s="119" t="s">
        <v>312</v>
      </c>
      <c r="C18" s="241"/>
      <c r="D18" s="242"/>
      <c r="E18" s="243"/>
      <c r="F18" s="243"/>
      <c r="G18" s="243"/>
      <c r="H18" s="243"/>
    </row>
    <row r="19" spans="1:17" s="1" customFormat="1" ht="15" customHeight="1">
      <c r="A19" s="118" t="s">
        <v>26</v>
      </c>
      <c r="B19" s="119" t="s">
        <v>311</v>
      </c>
      <c r="C19" s="244"/>
      <c r="D19" s="231"/>
      <c r="E19" s="232">
        <f>E18*Personalhauptkosten!$D$69</f>
        <v>0</v>
      </c>
      <c r="F19" s="232">
        <f>F18*Personalhauptkosten!$D$69</f>
        <v>0</v>
      </c>
      <c r="G19" s="232">
        <f>G18*Personalhauptkosten!$D$69</f>
        <v>0</v>
      </c>
      <c r="H19" s="232">
        <f>H18*Personalhauptkosten!$D$69</f>
        <v>0</v>
      </c>
    </row>
    <row r="20" spans="1:17" s="1" customFormat="1" ht="15" customHeight="1">
      <c r="A20" s="118" t="s">
        <v>28</v>
      </c>
      <c r="B20" s="79" t="s">
        <v>21</v>
      </c>
      <c r="C20" s="245"/>
      <c r="D20" s="233"/>
      <c r="E20" s="234" t="e">
        <f>E18*Personalhauptkosten!$B$72</f>
        <v>#VALUE!</v>
      </c>
      <c r="F20" s="234" t="e">
        <f>F18*Personalhauptkosten!$B$72</f>
        <v>#VALUE!</v>
      </c>
      <c r="G20" s="234" t="e">
        <f>G18*Personalhauptkosten!$B$72</f>
        <v>#VALUE!</v>
      </c>
      <c r="H20" s="234" t="e">
        <f>H18*Personalhauptkosten!$B$72</f>
        <v>#VALUE!</v>
      </c>
    </row>
    <row r="21" spans="1:17" s="1" customFormat="1" ht="15" customHeight="1" thickBot="1">
      <c r="A21" s="120" t="s">
        <v>93</v>
      </c>
      <c r="B21" s="97" t="s">
        <v>217</v>
      </c>
      <c r="C21" s="246"/>
      <c r="D21" s="246"/>
      <c r="E21" s="247" t="e">
        <f>SUM(E18:E20)</f>
        <v>#VALUE!</v>
      </c>
      <c r="F21" s="247" t="e">
        <f>SUM(F18:F20)</f>
        <v>#VALUE!</v>
      </c>
      <c r="G21" s="247" t="e">
        <f>SUM(G18:G20)</f>
        <v>#VALUE!</v>
      </c>
      <c r="H21" s="247" t="e">
        <f>SUM(H18:H20)</f>
        <v>#VALUE!</v>
      </c>
    </row>
    <row r="22" spans="1:17" ht="20.100000000000001" customHeight="1" thickBot="1">
      <c r="A22" s="122" t="s">
        <v>30</v>
      </c>
      <c r="B22" s="56" t="s">
        <v>31</v>
      </c>
      <c r="C22" s="248"/>
      <c r="D22" s="248"/>
      <c r="E22" s="249" t="e">
        <f>E11+E16+E21</f>
        <v>#VALUE!</v>
      </c>
      <c r="F22" s="249" t="e">
        <f>F11+F16+F21</f>
        <v>#VALUE!</v>
      </c>
      <c r="G22" s="249" t="e">
        <f>G11+G16+G21</f>
        <v>#VALUE!</v>
      </c>
      <c r="H22" s="249" t="e">
        <f>H11+H16+H21</f>
        <v>#VALUE!</v>
      </c>
    </row>
    <row r="23" spans="1:17" ht="15" customHeight="1">
      <c r="A23" s="106"/>
      <c r="B23" s="107"/>
      <c r="C23" s="223"/>
      <c r="D23" s="223"/>
      <c r="E23" s="237"/>
      <c r="F23" s="237"/>
      <c r="G23" s="237"/>
      <c r="H23" s="237"/>
    </row>
    <row r="24" spans="1:17" ht="15" customHeight="1">
      <c r="A24" s="88" t="s">
        <v>32</v>
      </c>
      <c r="B24" s="84" t="s">
        <v>33</v>
      </c>
      <c r="C24" s="250"/>
      <c r="D24" s="250"/>
      <c r="E24" s="251"/>
      <c r="F24" s="220"/>
      <c r="G24" s="220"/>
      <c r="H24" s="220"/>
    </row>
    <row r="25" spans="1:17" ht="15" customHeight="1">
      <c r="A25" s="106" t="s">
        <v>34</v>
      </c>
      <c r="B25" s="107" t="s">
        <v>313</v>
      </c>
      <c r="C25" s="239"/>
      <c r="D25" s="239"/>
      <c r="E25" s="240"/>
      <c r="F25" s="240"/>
      <c r="G25" s="240"/>
      <c r="H25" s="240"/>
      <c r="J25" s="217"/>
      <c r="K25" s="217"/>
      <c r="L25" s="217"/>
      <c r="M25" s="217"/>
      <c r="N25" s="217"/>
      <c r="O25" s="217"/>
    </row>
    <row r="26" spans="1:17" ht="15" customHeight="1">
      <c r="A26" s="109" t="s">
        <v>35</v>
      </c>
      <c r="B26" s="86" t="s">
        <v>314</v>
      </c>
      <c r="C26" s="221"/>
      <c r="D26" s="221"/>
      <c r="E26" s="252"/>
      <c r="F26" s="252"/>
      <c r="G26" s="252"/>
      <c r="H26" s="252"/>
      <c r="J26" s="217"/>
      <c r="K26" s="217"/>
      <c r="L26" s="217"/>
      <c r="M26" s="217"/>
      <c r="N26" s="217"/>
      <c r="O26" s="217"/>
      <c r="Q26" s="75" t="s">
        <v>334</v>
      </c>
    </row>
    <row r="27" spans="1:17" ht="15" customHeight="1">
      <c r="A27" s="109" t="s">
        <v>36</v>
      </c>
      <c r="B27" s="86" t="s">
        <v>335</v>
      </c>
      <c r="C27" s="223"/>
      <c r="D27" s="223"/>
      <c r="E27" s="253">
        <f>E26*$P$27</f>
        <v>0</v>
      </c>
      <c r="F27" s="253">
        <f>F26*$P$27</f>
        <v>0</v>
      </c>
      <c r="G27" s="253">
        <f t="shared" ref="G27:H27" si="1">G26*$P$27</f>
        <v>0</v>
      </c>
      <c r="H27" s="253">
        <f t="shared" si="1"/>
        <v>0</v>
      </c>
      <c r="P27">
        <v>6250</v>
      </c>
      <c r="Q27" s="75" t="s">
        <v>333</v>
      </c>
    </row>
    <row r="28" spans="1:17" ht="15" customHeight="1">
      <c r="A28" s="109" t="s">
        <v>37</v>
      </c>
      <c r="B28" s="86" t="s">
        <v>315</v>
      </c>
      <c r="C28" s="223"/>
      <c r="D28" s="223"/>
      <c r="E28" s="224"/>
      <c r="F28" s="224"/>
      <c r="G28" s="224"/>
      <c r="H28" s="224"/>
    </row>
    <row r="29" spans="1:17" ht="15" customHeight="1" thickBot="1">
      <c r="A29" s="79" t="s">
        <v>38</v>
      </c>
      <c r="B29" s="79" t="s">
        <v>336</v>
      </c>
      <c r="C29" s="254"/>
      <c r="D29" s="254"/>
      <c r="E29" s="253">
        <f>E28*$P$29</f>
        <v>0</v>
      </c>
      <c r="F29" s="253">
        <f t="shared" ref="F29:H29" si="2">F28*$P$29</f>
        <v>0</v>
      </c>
      <c r="G29" s="253">
        <f t="shared" si="2"/>
        <v>0</v>
      </c>
      <c r="H29" s="253">
        <f t="shared" si="2"/>
        <v>0</v>
      </c>
      <c r="P29">
        <v>9650</v>
      </c>
      <c r="Q29" s="75" t="s">
        <v>332</v>
      </c>
    </row>
    <row r="30" spans="1:17" ht="20.100000000000001" customHeight="1" thickBot="1">
      <c r="A30" s="122" t="s">
        <v>37</v>
      </c>
      <c r="B30" s="56" t="s">
        <v>39</v>
      </c>
      <c r="C30" s="248"/>
      <c r="D30" s="248"/>
      <c r="E30" s="249">
        <f>E27+E29</f>
        <v>0</v>
      </c>
      <c r="F30" s="249">
        <f t="shared" ref="F30:H30" si="3">F27+F29</f>
        <v>0</v>
      </c>
      <c r="G30" s="249">
        <f t="shared" si="3"/>
        <v>0</v>
      </c>
      <c r="H30" s="249">
        <f t="shared" si="3"/>
        <v>0</v>
      </c>
    </row>
    <row r="31" spans="1:17" s="95" customFormat="1" ht="15" customHeight="1" thickBot="1">
      <c r="A31" s="109"/>
      <c r="B31" s="86"/>
      <c r="C31" s="223"/>
      <c r="D31" s="223"/>
      <c r="E31" s="253"/>
      <c r="F31" s="253"/>
      <c r="G31" s="253"/>
      <c r="H31" s="253"/>
    </row>
    <row r="32" spans="1:17" ht="20.100000000000001" customHeight="1" thickBot="1">
      <c r="A32" s="122" t="s">
        <v>78</v>
      </c>
      <c r="B32" s="56" t="s">
        <v>79</v>
      </c>
      <c r="C32" s="248"/>
      <c r="D32" s="248"/>
      <c r="E32" s="249" t="e">
        <f>SUM(E22+E30)</f>
        <v>#VALUE!</v>
      </c>
      <c r="F32" s="249" t="e">
        <f>SUM(F22+F30)</f>
        <v>#VALUE!</v>
      </c>
      <c r="G32" s="249" t="e">
        <f>SUM(G22+G30)</f>
        <v>#VALUE!</v>
      </c>
      <c r="H32" s="249" t="e">
        <f>SUM(H22+H30)</f>
        <v>#VALUE!</v>
      </c>
    </row>
    <row r="33" spans="1:10">
      <c r="A33" s="106"/>
      <c r="B33" s="107"/>
      <c r="C33" s="107"/>
      <c r="D33" s="107"/>
      <c r="E33" s="107"/>
      <c r="F33" s="107"/>
      <c r="G33" s="107"/>
      <c r="H33" s="107"/>
    </row>
    <row r="34" spans="1:10">
      <c r="A34" s="106"/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>
      <c r="A35" s="88" t="s">
        <v>80</v>
      </c>
      <c r="B35" s="84" t="s">
        <v>316</v>
      </c>
      <c r="C35" s="283">
        <f>D35-1</f>
        <v>-2</v>
      </c>
      <c r="D35" s="283">
        <f>E35-1</f>
        <v>-1</v>
      </c>
      <c r="E35" s="282">
        <f>E4</f>
        <v>0</v>
      </c>
      <c r="F35" s="280">
        <f>E35+1</f>
        <v>1</v>
      </c>
      <c r="G35" s="280">
        <f t="shared" ref="G35:H35" si="4">F35+1</f>
        <v>2</v>
      </c>
      <c r="H35" s="281">
        <f t="shared" si="4"/>
        <v>3</v>
      </c>
    </row>
    <row r="36" spans="1:10">
      <c r="A36" s="86" t="s">
        <v>82</v>
      </c>
      <c r="B36" s="86" t="s">
        <v>317</v>
      </c>
      <c r="C36" s="224"/>
      <c r="D36" s="256"/>
      <c r="E36" s="257"/>
      <c r="F36" s="224"/>
      <c r="G36" s="224"/>
      <c r="H36" s="224"/>
    </row>
    <row r="37" spans="1:10">
      <c r="A37" s="86" t="s">
        <v>84</v>
      </c>
      <c r="B37" s="86" t="s">
        <v>318</v>
      </c>
      <c r="C37" s="224"/>
      <c r="D37" s="256"/>
      <c r="E37" s="257"/>
      <c r="F37" s="224"/>
      <c r="G37" s="224"/>
      <c r="H37" s="224"/>
    </row>
    <row r="38" spans="1:10" ht="13.5" thickBot="1">
      <c r="A38" s="86" t="s">
        <v>86</v>
      </c>
      <c r="B38" s="86" t="s">
        <v>319</v>
      </c>
      <c r="C38" s="224"/>
      <c r="D38" s="256"/>
      <c r="E38" s="257"/>
      <c r="F38" s="224"/>
      <c r="G38" s="224"/>
      <c r="H38" s="224"/>
    </row>
    <row r="39" spans="1:10" ht="13.5" thickBot="1">
      <c r="A39" s="122" t="s">
        <v>320</v>
      </c>
      <c r="B39" s="56" t="s">
        <v>87</v>
      </c>
      <c r="C39" s="258">
        <f t="shared" ref="C39:H39" si="5">SUM(C36:C38)</f>
        <v>0</v>
      </c>
      <c r="D39" s="259">
        <f t="shared" si="5"/>
        <v>0</v>
      </c>
      <c r="E39" s="260">
        <f t="shared" si="5"/>
        <v>0</v>
      </c>
      <c r="F39" s="249">
        <f t="shared" si="5"/>
        <v>0</v>
      </c>
      <c r="G39" s="249">
        <f t="shared" si="5"/>
        <v>0</v>
      </c>
      <c r="H39" s="249">
        <f t="shared" si="5"/>
        <v>0</v>
      </c>
    </row>
    <row r="40" spans="1:10">
      <c r="A40" s="106"/>
      <c r="B40" s="107"/>
      <c r="C40" s="261"/>
      <c r="D40" s="261"/>
      <c r="E40" s="261"/>
      <c r="F40" s="261"/>
      <c r="G40" s="261"/>
      <c r="H40" s="261"/>
    </row>
    <row r="41" spans="1:10">
      <c r="A41" s="106"/>
      <c r="B41" s="107"/>
      <c r="C41" s="107"/>
      <c r="D41" s="107"/>
      <c r="E41" s="107"/>
      <c r="F41" s="107"/>
      <c r="G41" s="107"/>
      <c r="H41" s="107"/>
    </row>
    <row r="42" spans="1:10">
      <c r="A42" s="88" t="s">
        <v>88</v>
      </c>
      <c r="B42" s="84" t="s">
        <v>321</v>
      </c>
      <c r="C42" s="283">
        <f>D42-1</f>
        <v>-2</v>
      </c>
      <c r="D42" s="283">
        <f>E42-1</f>
        <v>-1</v>
      </c>
      <c r="E42" s="282">
        <f>E4</f>
        <v>0</v>
      </c>
      <c r="F42" s="280">
        <f>E42+1</f>
        <v>1</v>
      </c>
      <c r="G42" s="280">
        <f t="shared" ref="G42:H42" si="6">F42+1</f>
        <v>2</v>
      </c>
      <c r="H42" s="281">
        <f t="shared" si="6"/>
        <v>3</v>
      </c>
    </row>
    <row r="43" spans="1:10">
      <c r="A43" s="86" t="s">
        <v>322</v>
      </c>
      <c r="B43" s="86" t="s">
        <v>323</v>
      </c>
      <c r="C43" s="262"/>
      <c r="D43" s="263"/>
      <c r="E43" s="264"/>
      <c r="F43" s="262"/>
      <c r="G43" s="262"/>
      <c r="H43" s="262"/>
    </row>
    <row r="44" spans="1:10" ht="13.5" thickBot="1">
      <c r="A44" s="93" t="s">
        <v>324</v>
      </c>
      <c r="B44" s="79" t="s">
        <v>325</v>
      </c>
      <c r="C44" s="255">
        <v>0</v>
      </c>
      <c r="D44" s="265">
        <v>0</v>
      </c>
      <c r="E44" s="266"/>
      <c r="F44" s="150"/>
      <c r="G44" s="150"/>
      <c r="H44" s="150"/>
    </row>
    <row r="45" spans="1:10" ht="13.5" thickBot="1">
      <c r="A45" s="122" t="s">
        <v>326</v>
      </c>
      <c r="B45" s="56" t="s">
        <v>327</v>
      </c>
      <c r="C45" s="248">
        <f>SUM(C43:C44)</f>
        <v>0</v>
      </c>
      <c r="D45" s="248">
        <f t="shared" ref="D45:H45" si="7">SUM(D43:D44)</f>
        <v>0</v>
      </c>
      <c r="E45" s="260">
        <f t="shared" si="7"/>
        <v>0</v>
      </c>
      <c r="F45" s="249">
        <f t="shared" si="7"/>
        <v>0</v>
      </c>
      <c r="G45" s="249">
        <f t="shared" si="7"/>
        <v>0</v>
      </c>
      <c r="H45" s="249">
        <f t="shared" si="7"/>
        <v>0</v>
      </c>
    </row>
    <row r="46" spans="1:10">
      <c r="A46" s="106"/>
      <c r="B46" s="107"/>
      <c r="C46" s="261"/>
      <c r="D46" s="261"/>
      <c r="E46" s="261"/>
      <c r="F46" s="261"/>
      <c r="G46" s="261"/>
      <c r="H46" s="261"/>
    </row>
    <row r="47" spans="1:10" ht="13.5" thickBot="1">
      <c r="A47" s="106"/>
      <c r="B47" s="107"/>
      <c r="C47" s="107"/>
      <c r="D47" s="107"/>
      <c r="E47" s="107"/>
      <c r="F47" s="107"/>
      <c r="G47" s="107"/>
      <c r="H47" s="107"/>
    </row>
    <row r="48" spans="1:10" ht="13.5" thickBot="1">
      <c r="A48" s="122" t="s">
        <v>92</v>
      </c>
      <c r="B48" s="56" t="s">
        <v>328</v>
      </c>
      <c r="C48" s="267"/>
      <c r="D48" s="268"/>
      <c r="E48" s="269" t="e">
        <f>E32-E39</f>
        <v>#VALUE!</v>
      </c>
      <c r="F48" s="270" t="e">
        <f>F32-F39</f>
        <v>#VALUE!</v>
      </c>
      <c r="G48" s="270" t="e">
        <f t="shared" ref="G48:H48" si="8">G32-G39</f>
        <v>#VALUE!</v>
      </c>
      <c r="H48" s="270" t="e">
        <f t="shared" si="8"/>
        <v>#VALUE!</v>
      </c>
    </row>
    <row r="49" spans="1:8">
      <c r="A49" s="160"/>
      <c r="B49" s="55"/>
      <c r="C49" s="86"/>
      <c r="D49" s="86"/>
      <c r="E49" s="86"/>
      <c r="F49" s="86"/>
      <c r="G49" s="86"/>
      <c r="H49" s="86"/>
    </row>
    <row r="50" spans="1:8">
      <c r="A50" s="160"/>
      <c r="B50" s="55"/>
      <c r="C50" s="86"/>
      <c r="D50" s="86"/>
      <c r="E50" s="86"/>
      <c r="F50" s="86"/>
      <c r="G50" s="86"/>
      <c r="H50" s="86"/>
    </row>
    <row r="51" spans="1:8" ht="13.5" thickBot="1">
      <c r="A51" s="390" t="s">
        <v>91</v>
      </c>
      <c r="B51" s="390"/>
      <c r="C51" s="271"/>
      <c r="D51" s="271"/>
      <c r="E51" s="272" t="s">
        <v>156</v>
      </c>
      <c r="F51" s="272" t="s">
        <v>156</v>
      </c>
      <c r="G51" s="272" t="s">
        <v>156</v>
      </c>
      <c r="H51" s="272" t="s">
        <v>156</v>
      </c>
    </row>
    <row r="52" spans="1:8" ht="13.5" thickBot="1">
      <c r="A52" s="273" t="s">
        <v>101</v>
      </c>
      <c r="B52" s="274" t="s">
        <v>155</v>
      </c>
      <c r="C52" s="275"/>
      <c r="D52" s="275"/>
      <c r="E52" s="275">
        <v>0</v>
      </c>
      <c r="F52" s="275">
        <v>0</v>
      </c>
      <c r="G52" s="275">
        <v>0</v>
      </c>
      <c r="H52" s="275">
        <v>0</v>
      </c>
    </row>
    <row r="53" spans="1:8" ht="13.5" thickBot="1">
      <c r="A53" s="139"/>
      <c r="B53" s="56" t="s">
        <v>329</v>
      </c>
      <c r="C53" s="276"/>
      <c r="D53" s="276"/>
      <c r="E53" s="276"/>
      <c r="F53" s="276"/>
      <c r="G53" s="276"/>
      <c r="H53" s="276"/>
    </row>
    <row r="56" spans="1:8">
      <c r="A56" s="418" t="s">
        <v>330</v>
      </c>
      <c r="B56" s="418"/>
      <c r="C56" s="277"/>
      <c r="D56" s="277"/>
      <c r="E56" s="278"/>
      <c r="F56" s="278"/>
      <c r="G56" s="278"/>
    </row>
  </sheetData>
  <mergeCells count="3">
    <mergeCell ref="A1:G1"/>
    <mergeCell ref="A51:B51"/>
    <mergeCell ref="A56:B56"/>
  </mergeCells>
  <hyperlinks>
    <hyperlink ref="F2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" sqref="F1"/>
    </sheetView>
  </sheetViews>
  <sheetFormatPr baseColWidth="10" defaultRowHeight="12.75"/>
  <cols>
    <col min="1" max="1" width="1.5703125" customWidth="1"/>
    <col min="2" max="2" width="15.42578125" customWidth="1"/>
  </cols>
  <sheetData>
    <row r="1" spans="1:6" ht="29.25" customHeight="1">
      <c r="A1" s="309"/>
      <c r="B1" s="162" t="s">
        <v>258</v>
      </c>
      <c r="F1" s="307" t="s">
        <v>353</v>
      </c>
    </row>
    <row r="2" spans="1:6" ht="15">
      <c r="B2" s="178"/>
      <c r="C2" s="75"/>
      <c r="D2" s="75"/>
      <c r="E2" s="75"/>
    </row>
    <row r="3" spans="1:6" ht="29.25" customHeight="1">
      <c r="B3" s="419" t="s">
        <v>259</v>
      </c>
      <c r="C3" s="420"/>
      <c r="D3" s="420"/>
      <c r="E3" s="420"/>
    </row>
    <row r="5" spans="1:6" ht="15">
      <c r="B5" s="179" t="s">
        <v>253</v>
      </c>
      <c r="C5" s="180"/>
    </row>
    <row r="6" spans="1:6" ht="15">
      <c r="B6" s="179"/>
      <c r="C6" s="181"/>
    </row>
    <row r="7" spans="1:6" ht="15">
      <c r="B7" s="179" t="s">
        <v>254</v>
      </c>
      <c r="C7" s="180"/>
    </row>
    <row r="8" spans="1:6" ht="15">
      <c r="B8" s="179"/>
    </row>
    <row r="9" spans="1:6" ht="15.75">
      <c r="B9" s="179" t="s">
        <v>260</v>
      </c>
      <c r="C9" s="182">
        <f>((C7/100)+1)^C5</f>
        <v>1</v>
      </c>
    </row>
    <row r="10" spans="1:6" ht="15.75">
      <c r="B10" s="179" t="s">
        <v>261</v>
      </c>
      <c r="C10" s="182">
        <f>1/C9</f>
        <v>1</v>
      </c>
    </row>
  </sheetData>
  <mergeCells count="1">
    <mergeCell ref="B3:E3"/>
  </mergeCells>
  <phoneticPr fontId="12" type="noConversion"/>
  <hyperlinks>
    <hyperlink ref="F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workbookViewId="0">
      <selection activeCell="N1" sqref="N1"/>
    </sheetView>
  </sheetViews>
  <sheetFormatPr baseColWidth="10" defaultColWidth="11.42578125" defaultRowHeight="12.75"/>
  <cols>
    <col min="1" max="1" width="8" style="48" customWidth="1"/>
    <col min="2" max="16" width="8.7109375" style="44" customWidth="1"/>
    <col min="17" max="16384" width="11.42578125" style="44"/>
  </cols>
  <sheetData>
    <row r="1" spans="1:17" ht="39.75" customHeight="1">
      <c r="A1" s="43" t="s">
        <v>146</v>
      </c>
      <c r="N1" s="308" t="s">
        <v>353</v>
      </c>
    </row>
    <row r="2" spans="1:17" s="48" customFormat="1" ht="22.5" customHeight="1">
      <c r="A2" s="45" t="s">
        <v>147</v>
      </c>
      <c r="B2" s="46">
        <v>0.03</v>
      </c>
      <c r="C2" s="46">
        <v>3.5000000000000003E-2</v>
      </c>
      <c r="D2" s="46">
        <v>0.04</v>
      </c>
      <c r="E2" s="46">
        <v>4.4999999999999998E-2</v>
      </c>
      <c r="F2" s="46">
        <v>0.05</v>
      </c>
      <c r="G2" s="46">
        <v>5.5E-2</v>
      </c>
      <c r="H2" s="46">
        <v>0.06</v>
      </c>
      <c r="I2" s="47">
        <v>6.5000000000000002E-2</v>
      </c>
      <c r="J2" s="46">
        <v>7.0000000000000007E-2</v>
      </c>
      <c r="K2" s="46">
        <v>7.4999999999999997E-2</v>
      </c>
      <c r="L2" s="46">
        <v>0.08</v>
      </c>
      <c r="M2" s="46">
        <v>8.5000000000000048E-2</v>
      </c>
      <c r="N2" s="46">
        <v>9.0000000000000052E-2</v>
      </c>
      <c r="O2" s="46">
        <v>9.5000000000000057E-2</v>
      </c>
      <c r="P2" s="46">
        <v>0.1</v>
      </c>
    </row>
    <row r="3" spans="1:17" s="51" customFormat="1">
      <c r="A3" s="49">
        <v>1</v>
      </c>
      <c r="B3" s="62">
        <f>1/1.03</f>
        <v>0.970873786407767</v>
      </c>
      <c r="C3" s="62">
        <f>1/103.5%</f>
        <v>0.96618357487922713</v>
      </c>
      <c r="D3" s="62">
        <f>1/104%</f>
        <v>0.96153846153846145</v>
      </c>
      <c r="E3" s="62">
        <f>1/104.5%</f>
        <v>0.95693779904306231</v>
      </c>
      <c r="F3" s="62">
        <f>1/105%</f>
        <v>0.95238095238095233</v>
      </c>
      <c r="G3" s="62">
        <f>1/105.5%</f>
        <v>0.94786729857819907</v>
      </c>
      <c r="H3" s="62">
        <f>1/106%</f>
        <v>0.94339622641509424</v>
      </c>
      <c r="I3" s="62">
        <f>1/106.5%</f>
        <v>0.93896713615023475</v>
      </c>
      <c r="J3" s="62">
        <f>1/107%</f>
        <v>0.93457943925233644</v>
      </c>
      <c r="K3" s="62">
        <f>1/107.5%</f>
        <v>0.93023255813953487</v>
      </c>
      <c r="L3" s="62">
        <f>1/108%</f>
        <v>0.92592592592592582</v>
      </c>
      <c r="M3" s="62">
        <f>1/108.5%</f>
        <v>0.92165898617511521</v>
      </c>
      <c r="N3" s="62">
        <f>1/109%</f>
        <v>0.9174311926605504</v>
      </c>
      <c r="O3" s="62">
        <f>1/109.5%</f>
        <v>0.91324200913242015</v>
      </c>
      <c r="P3" s="62">
        <f>1/110%</f>
        <v>0.90909090909090906</v>
      </c>
      <c r="Q3" s="50"/>
    </row>
    <row r="4" spans="1:17" s="51" customFormat="1">
      <c r="A4" s="49">
        <v>2</v>
      </c>
      <c r="B4" s="62">
        <f t="shared" ref="B4:B52" si="0">B3/1.03</f>
        <v>0.94259590913375435</v>
      </c>
      <c r="C4" s="62">
        <f t="shared" ref="C4:C52" si="1">C3/103.5%</f>
        <v>0.93351070036640305</v>
      </c>
      <c r="D4" s="62">
        <f t="shared" ref="D4:D52" si="2">D3/104%</f>
        <v>0.92455621301775137</v>
      </c>
      <c r="E4" s="62">
        <f t="shared" ref="E4:E52" si="3">E3/104.5%</f>
        <v>0.91572995123738021</v>
      </c>
      <c r="F4" s="62">
        <f t="shared" ref="F4:F52" si="4">F3/105%</f>
        <v>0.90702947845804982</v>
      </c>
      <c r="G4" s="62">
        <f t="shared" ref="G4:G52" si="5">G3/105.5%</f>
        <v>0.89845241571393286</v>
      </c>
      <c r="H4" s="62">
        <f t="shared" ref="H4:H52" si="6">H3/106%</f>
        <v>0.88999644001423983</v>
      </c>
      <c r="I4" s="62">
        <f t="shared" ref="I4:I52" si="7">I3/106.5%</f>
        <v>0.88165928277017347</v>
      </c>
      <c r="J4" s="62">
        <f t="shared" ref="J4:J52" si="8">J3/107%</f>
        <v>0.87343872827321156</v>
      </c>
      <c r="K4" s="62">
        <f t="shared" ref="K4:K52" si="9">K3/107.5%</f>
        <v>0.86533261222282321</v>
      </c>
      <c r="L4" s="62">
        <f t="shared" ref="L4:L52" si="10">L3/108%</f>
        <v>0.8573388203017831</v>
      </c>
      <c r="M4" s="62">
        <f t="shared" ref="M4:M52" si="11">M3/108.5%</f>
        <v>0.84945528679734128</v>
      </c>
      <c r="N4" s="62">
        <f t="shared" ref="N4:N52" si="12">N3/109%</f>
        <v>0.84167999326655996</v>
      </c>
      <c r="O4" s="62">
        <f t="shared" ref="O4:O52" si="13">O3/109.5%</f>
        <v>0.8340109672442193</v>
      </c>
      <c r="P4" s="62">
        <f t="shared" ref="P4:P52" si="14">P3/110%</f>
        <v>0.82644628099173545</v>
      </c>
      <c r="Q4" s="50"/>
    </row>
    <row r="5" spans="1:17" s="51" customFormat="1">
      <c r="A5" s="49">
        <v>3</v>
      </c>
      <c r="B5" s="62">
        <f t="shared" si="0"/>
        <v>0.9151416593531595</v>
      </c>
      <c r="C5" s="62">
        <f t="shared" si="1"/>
        <v>0.90194270566802237</v>
      </c>
      <c r="D5" s="62">
        <f t="shared" si="2"/>
        <v>0.88899635867091475</v>
      </c>
      <c r="E5" s="62">
        <f t="shared" si="3"/>
        <v>0.87629660405490939</v>
      </c>
      <c r="F5" s="62">
        <f t="shared" si="4"/>
        <v>0.86383759853147601</v>
      </c>
      <c r="G5" s="62">
        <f t="shared" si="5"/>
        <v>0.85161366418382267</v>
      </c>
      <c r="H5" s="62">
        <f t="shared" si="6"/>
        <v>0.83961928303230171</v>
      </c>
      <c r="I5" s="62">
        <f t="shared" si="7"/>
        <v>0.82784909180297983</v>
      </c>
      <c r="J5" s="62">
        <f t="shared" si="8"/>
        <v>0.81629787689085187</v>
      </c>
      <c r="K5" s="62">
        <f t="shared" si="9"/>
        <v>0.80496056950960304</v>
      </c>
      <c r="L5" s="62">
        <f t="shared" si="10"/>
        <v>0.79383224102016947</v>
      </c>
      <c r="M5" s="62">
        <f t="shared" si="11"/>
        <v>0.78290809843072928</v>
      </c>
      <c r="N5" s="62">
        <f t="shared" si="12"/>
        <v>0.77218348006106408</v>
      </c>
      <c r="O5" s="62">
        <f t="shared" si="13"/>
        <v>0.76165385136458386</v>
      </c>
      <c r="P5" s="62">
        <f t="shared" si="14"/>
        <v>0.75131480090157765</v>
      </c>
      <c r="Q5" s="50"/>
    </row>
    <row r="6" spans="1:17" s="51" customFormat="1">
      <c r="A6" s="49">
        <v>4</v>
      </c>
      <c r="B6" s="62">
        <f t="shared" si="0"/>
        <v>0.88848704791568878</v>
      </c>
      <c r="C6" s="62">
        <f t="shared" si="1"/>
        <v>0.87144222769857238</v>
      </c>
      <c r="D6" s="62">
        <f t="shared" si="2"/>
        <v>0.85480419102972571</v>
      </c>
      <c r="E6" s="62">
        <f t="shared" si="3"/>
        <v>0.83856134359321477</v>
      </c>
      <c r="F6" s="62">
        <f t="shared" si="4"/>
        <v>0.82270247479188185</v>
      </c>
      <c r="G6" s="62">
        <f t="shared" si="5"/>
        <v>0.80721674330220161</v>
      </c>
      <c r="H6" s="62">
        <f t="shared" si="6"/>
        <v>0.79209366323802044</v>
      </c>
      <c r="I6" s="62">
        <f t="shared" si="7"/>
        <v>0.77732309089481677</v>
      </c>
      <c r="J6" s="62">
        <f t="shared" si="8"/>
        <v>0.76289521204752508</v>
      </c>
      <c r="K6" s="62">
        <f t="shared" si="9"/>
        <v>0.7488005297763749</v>
      </c>
      <c r="L6" s="62">
        <f t="shared" si="10"/>
        <v>0.73502985279645316</v>
      </c>
      <c r="M6" s="62">
        <f t="shared" si="11"/>
        <v>0.72157428426795323</v>
      </c>
      <c r="N6" s="62">
        <f t="shared" si="12"/>
        <v>0.7084252110651964</v>
      </c>
      <c r="O6" s="62">
        <f t="shared" si="13"/>
        <v>0.6955742934836382</v>
      </c>
      <c r="P6" s="62">
        <f t="shared" si="14"/>
        <v>0.68301345536507052</v>
      </c>
      <c r="Q6" s="50"/>
    </row>
    <row r="7" spans="1:17" s="51" customFormat="1">
      <c r="A7" s="49">
        <v>5</v>
      </c>
      <c r="B7" s="62">
        <f t="shared" si="0"/>
        <v>0.86260878438416388</v>
      </c>
      <c r="C7" s="62">
        <f t="shared" si="1"/>
        <v>0.84197316685852408</v>
      </c>
      <c r="D7" s="62">
        <f t="shared" si="2"/>
        <v>0.82192710675935166</v>
      </c>
      <c r="E7" s="62">
        <f t="shared" si="3"/>
        <v>0.802451046500684</v>
      </c>
      <c r="F7" s="62">
        <f t="shared" si="4"/>
        <v>0.78352616646845885</v>
      </c>
      <c r="G7" s="62">
        <f t="shared" si="5"/>
        <v>0.76513435384094941</v>
      </c>
      <c r="H7" s="62">
        <f t="shared" si="6"/>
        <v>0.747258172866057</v>
      </c>
      <c r="I7" s="62">
        <f t="shared" si="7"/>
        <v>0.7298808365209547</v>
      </c>
      <c r="J7" s="62">
        <f t="shared" si="8"/>
        <v>0.71298617948366827</v>
      </c>
      <c r="K7" s="62">
        <f t="shared" si="9"/>
        <v>0.69655863235011617</v>
      </c>
      <c r="L7" s="62">
        <f t="shared" si="10"/>
        <v>0.68058319703375292</v>
      </c>
      <c r="M7" s="62">
        <f t="shared" si="11"/>
        <v>0.66504542328843619</v>
      </c>
      <c r="N7" s="62">
        <f t="shared" si="12"/>
        <v>0.64993138629834524</v>
      </c>
      <c r="O7" s="62">
        <f t="shared" si="13"/>
        <v>0.63522766528186136</v>
      </c>
      <c r="P7" s="62">
        <f t="shared" si="14"/>
        <v>0.62092132305915493</v>
      </c>
      <c r="Q7" s="50"/>
    </row>
    <row r="8" spans="1:17" s="51" customFormat="1">
      <c r="A8" s="49">
        <v>6</v>
      </c>
      <c r="B8" s="62">
        <f t="shared" si="0"/>
        <v>0.83748425668365423</v>
      </c>
      <c r="C8" s="62">
        <f t="shared" si="1"/>
        <v>0.81350064430775282</v>
      </c>
      <c r="D8" s="62">
        <f t="shared" si="2"/>
        <v>0.79031452573014582</v>
      </c>
      <c r="E8" s="62">
        <f t="shared" si="3"/>
        <v>0.7678957382781666</v>
      </c>
      <c r="F8" s="62">
        <f t="shared" si="4"/>
        <v>0.74621539663662739</v>
      </c>
      <c r="G8" s="62">
        <f t="shared" si="5"/>
        <v>0.72524583302459666</v>
      </c>
      <c r="H8" s="62">
        <f t="shared" si="6"/>
        <v>0.70496054043967638</v>
      </c>
      <c r="I8" s="62">
        <f t="shared" si="7"/>
        <v>0.68533411879901851</v>
      </c>
      <c r="J8" s="62">
        <f t="shared" si="8"/>
        <v>0.66634222381651231</v>
      </c>
      <c r="K8" s="62">
        <f t="shared" si="9"/>
        <v>0.64796151846522432</v>
      </c>
      <c r="L8" s="62">
        <f t="shared" si="10"/>
        <v>0.63016962688310452</v>
      </c>
      <c r="M8" s="62">
        <f t="shared" si="11"/>
        <v>0.6129450905884205</v>
      </c>
      <c r="N8" s="62">
        <f t="shared" si="12"/>
        <v>0.5962673268792158</v>
      </c>
      <c r="O8" s="62">
        <f t="shared" si="13"/>
        <v>0.58011658929850352</v>
      </c>
      <c r="P8" s="62">
        <f t="shared" si="14"/>
        <v>0.56447393005377711</v>
      </c>
      <c r="Q8" s="50"/>
    </row>
    <row r="9" spans="1:17" s="51" customFormat="1">
      <c r="A9" s="49">
        <v>7</v>
      </c>
      <c r="B9" s="62">
        <f t="shared" si="0"/>
        <v>0.81309151134335356</v>
      </c>
      <c r="C9" s="62">
        <f t="shared" si="1"/>
        <v>0.78599096068381924</v>
      </c>
      <c r="D9" s="62">
        <f t="shared" si="2"/>
        <v>0.75991781320206331</v>
      </c>
      <c r="E9" s="62">
        <f t="shared" si="3"/>
        <v>0.73482845768245608</v>
      </c>
      <c r="F9" s="62">
        <f t="shared" si="4"/>
        <v>0.71068133013012125</v>
      </c>
      <c r="G9" s="62">
        <f t="shared" si="5"/>
        <v>0.68743680855412015</v>
      </c>
      <c r="H9" s="62">
        <f t="shared" si="6"/>
        <v>0.66505711362233622</v>
      </c>
      <c r="I9" s="62">
        <f t="shared" si="7"/>
        <v>0.64350621483475923</v>
      </c>
      <c r="J9" s="62">
        <f t="shared" si="8"/>
        <v>0.62274974188459087</v>
      </c>
      <c r="K9" s="62">
        <f t="shared" si="9"/>
        <v>0.60275490089788308</v>
      </c>
      <c r="L9" s="62">
        <f t="shared" si="10"/>
        <v>0.58349039526213375</v>
      </c>
      <c r="M9" s="62">
        <f t="shared" si="11"/>
        <v>0.56492635077273778</v>
      </c>
      <c r="N9" s="62">
        <f t="shared" si="12"/>
        <v>0.5470342448433172</v>
      </c>
      <c r="O9" s="62">
        <f t="shared" si="13"/>
        <v>0.52978683954201233</v>
      </c>
      <c r="P9" s="62">
        <f t="shared" si="14"/>
        <v>0.51315811823070645</v>
      </c>
      <c r="Q9" s="50"/>
    </row>
    <row r="10" spans="1:17" s="51" customFormat="1">
      <c r="A10" s="49">
        <v>8</v>
      </c>
      <c r="B10" s="62">
        <f t="shared" si="0"/>
        <v>0.7894092343139355</v>
      </c>
      <c r="C10" s="62">
        <f t="shared" si="1"/>
        <v>0.75941155621625056</v>
      </c>
      <c r="D10" s="62">
        <f t="shared" si="2"/>
        <v>0.73069020500198389</v>
      </c>
      <c r="E10" s="62">
        <f t="shared" si="3"/>
        <v>0.70318512696885749</v>
      </c>
      <c r="F10" s="62">
        <f t="shared" si="4"/>
        <v>0.67683936202868689</v>
      </c>
      <c r="G10" s="62">
        <f>G9/105.5%</f>
        <v>0.65159887066741251</v>
      </c>
      <c r="H10" s="62">
        <f t="shared" si="6"/>
        <v>0.62741237134182659</v>
      </c>
      <c r="I10" s="62">
        <f t="shared" si="7"/>
        <v>0.60423118763827155</v>
      </c>
      <c r="J10" s="62">
        <f t="shared" si="8"/>
        <v>0.58200910456503818</v>
      </c>
      <c r="K10" s="62">
        <f t="shared" si="9"/>
        <v>0.56070223339337966</v>
      </c>
      <c r="L10" s="62">
        <f t="shared" si="10"/>
        <v>0.54026888450197563</v>
      </c>
      <c r="M10" s="62">
        <f t="shared" si="11"/>
        <v>0.52066944771680901</v>
      </c>
      <c r="N10" s="62">
        <f t="shared" si="12"/>
        <v>0.50186627967276798</v>
      </c>
      <c r="O10" s="62">
        <f t="shared" si="13"/>
        <v>0.4838235977552624</v>
      </c>
      <c r="P10" s="62">
        <f t="shared" si="14"/>
        <v>0.46650738020973309</v>
      </c>
      <c r="Q10" s="50"/>
    </row>
    <row r="11" spans="1:17" s="51" customFormat="1">
      <c r="A11" s="49">
        <v>9</v>
      </c>
      <c r="B11" s="62">
        <f t="shared" si="0"/>
        <v>0.76641673234362673</v>
      </c>
      <c r="C11" s="62">
        <f t="shared" si="1"/>
        <v>0.73373097218961414</v>
      </c>
      <c r="D11" s="62">
        <f t="shared" si="2"/>
        <v>0.70258673557883067</v>
      </c>
      <c r="E11" s="62">
        <f t="shared" si="3"/>
        <v>0.6729044277213948</v>
      </c>
      <c r="F11" s="62">
        <f t="shared" si="4"/>
        <v>0.64460891621779703</v>
      </c>
      <c r="G11" s="50">
        <f>G10/105.5%</f>
        <v>0.61762926129612561</v>
      </c>
      <c r="H11" s="62">
        <f t="shared" si="6"/>
        <v>0.59189846353002507</v>
      </c>
      <c r="I11" s="62">
        <f t="shared" si="7"/>
        <v>0.56735322782936304</v>
      </c>
      <c r="J11" s="62">
        <f t="shared" si="8"/>
        <v>0.54393374258414784</v>
      </c>
      <c r="K11" s="62">
        <f t="shared" si="9"/>
        <v>0.52158347292407414</v>
      </c>
      <c r="L11" s="62">
        <f t="shared" si="10"/>
        <v>0.50024896713145883</v>
      </c>
      <c r="M11" s="62">
        <f t="shared" si="11"/>
        <v>0.47987967531503134</v>
      </c>
      <c r="N11" s="62">
        <f t="shared" si="12"/>
        <v>0.46042777951630087</v>
      </c>
      <c r="O11" s="62">
        <f t="shared" si="13"/>
        <v>0.44184803447969168</v>
      </c>
      <c r="P11" s="62">
        <f t="shared" si="14"/>
        <v>0.42409761837248461</v>
      </c>
      <c r="Q11" s="50"/>
    </row>
    <row r="12" spans="1:17" s="53" customFormat="1">
      <c r="A12" s="52">
        <v>10</v>
      </c>
      <c r="B12" s="63">
        <f t="shared" si="0"/>
        <v>0.74409391489672494</v>
      </c>
      <c r="C12" s="63">
        <f t="shared" si="1"/>
        <v>0.70891881370977217</v>
      </c>
      <c r="D12" s="63">
        <f t="shared" si="2"/>
        <v>0.67556416882579873</v>
      </c>
      <c r="E12" s="63">
        <f t="shared" si="3"/>
        <v>0.64392768203004291</v>
      </c>
      <c r="F12" s="63">
        <f t="shared" si="4"/>
        <v>0.6139132535407591</v>
      </c>
      <c r="G12" s="63">
        <f t="shared" si="5"/>
        <v>0.58543057942760723</v>
      </c>
      <c r="H12" s="63">
        <f t="shared" si="6"/>
        <v>0.55839477691511796</v>
      </c>
      <c r="I12" s="63">
        <f t="shared" si="7"/>
        <v>0.53272603552052866</v>
      </c>
      <c r="J12" s="63">
        <f t="shared" si="8"/>
        <v>0.50834929213471758</v>
      </c>
      <c r="K12" s="63">
        <f t="shared" si="9"/>
        <v>0.48519392830146435</v>
      </c>
      <c r="L12" s="63">
        <f t="shared" si="10"/>
        <v>0.46319348808468408</v>
      </c>
      <c r="M12" s="63">
        <f t="shared" si="11"/>
        <v>0.44228541503689528</v>
      </c>
      <c r="N12" s="63">
        <f t="shared" si="12"/>
        <v>0.42241080689568883</v>
      </c>
      <c r="O12" s="63">
        <f t="shared" si="13"/>
        <v>0.40351418673944445</v>
      </c>
      <c r="P12" s="63">
        <f t="shared" si="14"/>
        <v>0.38554328942953142</v>
      </c>
      <c r="Q12" s="50"/>
    </row>
    <row r="13" spans="1:17" s="51" customFormat="1" ht="20.25" customHeight="1">
      <c r="A13" s="49">
        <v>11</v>
      </c>
      <c r="B13" s="62">
        <f t="shared" si="0"/>
        <v>0.7224212765987621</v>
      </c>
      <c r="C13" s="62">
        <f t="shared" si="1"/>
        <v>0.68494571372924851</v>
      </c>
      <c r="D13" s="62">
        <f t="shared" si="2"/>
        <v>0.64958093156326802</v>
      </c>
      <c r="E13" s="62">
        <f t="shared" si="3"/>
        <v>0.61619873878473008</v>
      </c>
      <c r="F13" s="62">
        <f t="shared" si="4"/>
        <v>0.58467928908643718</v>
      </c>
      <c r="G13" s="62">
        <f t="shared" si="5"/>
        <v>0.55491050182711588</v>
      </c>
      <c r="H13" s="62">
        <f t="shared" si="6"/>
        <v>0.52678752539162066</v>
      </c>
      <c r="I13" s="62">
        <f t="shared" si="7"/>
        <v>0.500212239925379</v>
      </c>
      <c r="J13" s="62">
        <f t="shared" si="8"/>
        <v>0.4750927963875865</v>
      </c>
      <c r="K13" s="62">
        <f t="shared" si="9"/>
        <v>0.45134318911764126</v>
      </c>
      <c r="L13" s="62">
        <f t="shared" si="10"/>
        <v>0.4288828593376704</v>
      </c>
      <c r="M13" s="62">
        <f t="shared" si="11"/>
        <v>0.40763632722294496</v>
      </c>
      <c r="N13" s="62">
        <f t="shared" si="12"/>
        <v>0.38753285036301727</v>
      </c>
      <c r="O13" s="62">
        <f t="shared" si="13"/>
        <v>0.36850610661136479</v>
      </c>
      <c r="P13" s="62">
        <f t="shared" si="14"/>
        <v>0.35049389948139215</v>
      </c>
    </row>
    <row r="14" spans="1:17" s="51" customFormat="1">
      <c r="A14" s="49">
        <v>12</v>
      </c>
      <c r="B14" s="62">
        <f t="shared" si="0"/>
        <v>0.70137988019297293</v>
      </c>
      <c r="C14" s="62">
        <f t="shared" si="1"/>
        <v>0.66178329828912907</v>
      </c>
      <c r="D14" s="62">
        <f t="shared" si="2"/>
        <v>0.62459704958006534</v>
      </c>
      <c r="E14" s="62">
        <f t="shared" si="3"/>
        <v>0.58966386486577049</v>
      </c>
      <c r="F14" s="62">
        <f t="shared" si="4"/>
        <v>0.55683741817755916</v>
      </c>
      <c r="G14" s="62">
        <f t="shared" si="5"/>
        <v>0.5259815183195411</v>
      </c>
      <c r="H14" s="62">
        <f t="shared" si="6"/>
        <v>0.49696936357700061</v>
      </c>
      <c r="I14" s="62">
        <f t="shared" si="7"/>
        <v>0.46968285439002727</v>
      </c>
      <c r="J14" s="62">
        <f t="shared" si="8"/>
        <v>0.444011959240735</v>
      </c>
      <c r="K14" s="62">
        <f t="shared" si="9"/>
        <v>0.41985412941175931</v>
      </c>
      <c r="L14" s="62">
        <f t="shared" si="10"/>
        <v>0.39711375864599108</v>
      </c>
      <c r="M14" s="62">
        <f t="shared" si="11"/>
        <v>0.375701684076447</v>
      </c>
      <c r="N14" s="62">
        <f t="shared" si="12"/>
        <v>0.35553472510368556</v>
      </c>
      <c r="O14" s="62">
        <f t="shared" si="13"/>
        <v>0.33653525717932858</v>
      </c>
      <c r="P14" s="62">
        <f t="shared" si="14"/>
        <v>0.31863081771035645</v>
      </c>
    </row>
    <row r="15" spans="1:17" s="51" customFormat="1">
      <c r="A15" s="49">
        <v>13</v>
      </c>
      <c r="B15" s="62">
        <f t="shared" si="0"/>
        <v>0.68095133999317758</v>
      </c>
      <c r="C15" s="62">
        <f t="shared" si="1"/>
        <v>0.63940415293635666</v>
      </c>
      <c r="D15" s="62">
        <f t="shared" si="2"/>
        <v>0.60057408613467822</v>
      </c>
      <c r="E15" s="62">
        <f t="shared" si="3"/>
        <v>0.56427164101987615</v>
      </c>
      <c r="F15" s="62">
        <f t="shared" si="4"/>
        <v>0.5303213506452944</v>
      </c>
      <c r="G15" s="62">
        <f t="shared" si="5"/>
        <v>0.49856068087160299</v>
      </c>
      <c r="H15" s="62">
        <f t="shared" si="6"/>
        <v>0.46883902224245338</v>
      </c>
      <c r="I15" s="62">
        <f t="shared" si="7"/>
        <v>0.44101676468547163</v>
      </c>
      <c r="J15" s="62">
        <f t="shared" si="8"/>
        <v>0.41496444788853737</v>
      </c>
      <c r="K15" s="62">
        <f t="shared" si="9"/>
        <v>0.39056198084814819</v>
      </c>
      <c r="L15" s="62">
        <f t="shared" si="10"/>
        <v>0.36769792467221396</v>
      </c>
      <c r="M15" s="62">
        <f t="shared" si="11"/>
        <v>0.3462688332501816</v>
      </c>
      <c r="N15" s="62">
        <f t="shared" si="12"/>
        <v>0.32617864688411519</v>
      </c>
      <c r="O15" s="62">
        <f t="shared" si="13"/>
        <v>0.30733813441034574</v>
      </c>
      <c r="P15" s="62">
        <f t="shared" si="14"/>
        <v>0.28966437973668768</v>
      </c>
    </row>
    <row r="16" spans="1:17" s="51" customFormat="1">
      <c r="A16" s="49">
        <v>14</v>
      </c>
      <c r="B16" s="62">
        <f t="shared" si="0"/>
        <v>0.66111780581861901</v>
      </c>
      <c r="C16" s="62">
        <f t="shared" si="1"/>
        <v>0.61778179027667313</v>
      </c>
      <c r="D16" s="62">
        <f t="shared" si="2"/>
        <v>0.57747508282180593</v>
      </c>
      <c r="E16" s="62">
        <f t="shared" si="3"/>
        <v>0.5399728622199772</v>
      </c>
      <c r="F16" s="62">
        <f t="shared" si="4"/>
        <v>0.50506795299551843</v>
      </c>
      <c r="G16" s="62">
        <f t="shared" si="5"/>
        <v>0.47256936575507397</v>
      </c>
      <c r="H16" s="62">
        <f t="shared" si="6"/>
        <v>0.44230096437967298</v>
      </c>
      <c r="I16" s="62">
        <f t="shared" si="7"/>
        <v>0.41410024853095928</v>
      </c>
      <c r="J16" s="62">
        <f t="shared" si="8"/>
        <v>0.38781724101732462</v>
      </c>
      <c r="K16" s="62">
        <f t="shared" si="9"/>
        <v>0.36331347055641694</v>
      </c>
      <c r="L16" s="62">
        <f t="shared" si="10"/>
        <v>0.34046104136316108</v>
      </c>
      <c r="M16" s="62">
        <f t="shared" si="11"/>
        <v>0.31914178179740238</v>
      </c>
      <c r="N16" s="62">
        <f t="shared" si="12"/>
        <v>0.29924646503129831</v>
      </c>
      <c r="O16" s="62">
        <f t="shared" si="13"/>
        <v>0.2806740953519139</v>
      </c>
      <c r="P16" s="62">
        <f t="shared" si="14"/>
        <v>0.26333125430607968</v>
      </c>
    </row>
    <row r="17" spans="1:16" s="51" customFormat="1">
      <c r="A17" s="49">
        <v>15</v>
      </c>
      <c r="B17" s="62">
        <f t="shared" si="0"/>
        <v>0.64186194739671742</v>
      </c>
      <c r="C17" s="62">
        <f t="shared" si="1"/>
        <v>0.59689061862480497</v>
      </c>
      <c r="D17" s="62">
        <f t="shared" si="2"/>
        <v>0.55526450271327488</v>
      </c>
      <c r="E17" s="62">
        <f t="shared" si="3"/>
        <v>0.51672044231576764</v>
      </c>
      <c r="F17" s="62">
        <f t="shared" si="4"/>
        <v>0.48101709809096993</v>
      </c>
      <c r="G17" s="62">
        <f t="shared" si="5"/>
        <v>0.44793304810907486</v>
      </c>
      <c r="H17" s="62">
        <f t="shared" si="6"/>
        <v>0.41726506073554054</v>
      </c>
      <c r="I17" s="62">
        <f t="shared" si="7"/>
        <v>0.38882652444221533</v>
      </c>
      <c r="J17" s="62">
        <f t="shared" si="8"/>
        <v>0.36244601964235945</v>
      </c>
      <c r="K17" s="62">
        <f t="shared" si="9"/>
        <v>0.33796601912224833</v>
      </c>
      <c r="L17" s="62">
        <f t="shared" si="10"/>
        <v>0.31524170496588988</v>
      </c>
      <c r="M17" s="62">
        <f t="shared" si="11"/>
        <v>0.2941398910575137</v>
      </c>
      <c r="N17" s="62">
        <f t="shared" si="12"/>
        <v>0.27453804131311771</v>
      </c>
      <c r="O17" s="62">
        <f t="shared" si="13"/>
        <v>0.25632337475060629</v>
      </c>
      <c r="P17" s="62">
        <f t="shared" si="14"/>
        <v>0.23939204936916333</v>
      </c>
    </row>
    <row r="18" spans="1:16" s="51" customFormat="1">
      <c r="A18" s="49">
        <v>16</v>
      </c>
      <c r="B18" s="62">
        <f t="shared" si="0"/>
        <v>0.62316693922011401</v>
      </c>
      <c r="C18" s="62">
        <f t="shared" si="1"/>
        <v>0.57670591171478747</v>
      </c>
      <c r="D18" s="62">
        <f t="shared" si="2"/>
        <v>0.53390817568584126</v>
      </c>
      <c r="E18" s="62">
        <f t="shared" si="3"/>
        <v>0.49446932279020828</v>
      </c>
      <c r="F18" s="62">
        <f t="shared" si="4"/>
        <v>0.45811152199139993</v>
      </c>
      <c r="G18" s="62">
        <f t="shared" si="5"/>
        <v>0.42458108825504731</v>
      </c>
      <c r="H18" s="62">
        <f t="shared" si="6"/>
        <v>0.39364628371277405</v>
      </c>
      <c r="I18" s="62">
        <f t="shared" si="7"/>
        <v>0.3650953281147562</v>
      </c>
      <c r="J18" s="62">
        <f t="shared" si="8"/>
        <v>0.33873459779659759</v>
      </c>
      <c r="K18" s="62">
        <f t="shared" si="9"/>
        <v>0.31438699453232405</v>
      </c>
      <c r="L18" s="62">
        <f t="shared" si="10"/>
        <v>0.29189046756100911</v>
      </c>
      <c r="M18" s="62">
        <f t="shared" si="11"/>
        <v>0.27109667378572694</v>
      </c>
      <c r="N18" s="62">
        <f t="shared" si="12"/>
        <v>0.25186976267258504</v>
      </c>
      <c r="O18" s="62">
        <f t="shared" si="13"/>
        <v>0.23408527374484595</v>
      </c>
      <c r="P18" s="62">
        <f t="shared" si="14"/>
        <v>0.21762913579014848</v>
      </c>
    </row>
    <row r="19" spans="1:16" s="51" customFormat="1">
      <c r="A19" s="49">
        <v>17</v>
      </c>
      <c r="B19" s="62">
        <f t="shared" si="0"/>
        <v>0.60501644584477088</v>
      </c>
      <c r="C19" s="62">
        <f t="shared" si="1"/>
        <v>0.55720377943457733</v>
      </c>
      <c r="D19" s="62">
        <f t="shared" si="2"/>
        <v>0.51337324585177047</v>
      </c>
      <c r="E19" s="62">
        <f t="shared" si="3"/>
        <v>0.47317638544517543</v>
      </c>
      <c r="F19" s="62">
        <f t="shared" si="4"/>
        <v>0.43629668761085705</v>
      </c>
      <c r="G19" s="62">
        <f t="shared" si="5"/>
        <v>0.40244652915170365</v>
      </c>
      <c r="H19" s="62">
        <f t="shared" si="6"/>
        <v>0.37136441859695662</v>
      </c>
      <c r="I19" s="62">
        <f t="shared" si="7"/>
        <v>0.34281251466174295</v>
      </c>
      <c r="J19" s="62">
        <f t="shared" si="8"/>
        <v>0.3165743904641099</v>
      </c>
      <c r="K19" s="62">
        <f t="shared" si="9"/>
        <v>0.29245301816960378</v>
      </c>
      <c r="L19" s="62">
        <f t="shared" si="10"/>
        <v>0.27026895144537877</v>
      </c>
      <c r="M19" s="62">
        <f t="shared" si="11"/>
        <v>0.24985868551679902</v>
      </c>
      <c r="N19" s="62">
        <f t="shared" si="12"/>
        <v>0.23107317676383948</v>
      </c>
      <c r="O19" s="62">
        <f t="shared" si="13"/>
        <v>0.21377650570305567</v>
      </c>
      <c r="P19" s="62">
        <f t="shared" si="14"/>
        <v>0.19784466890013497</v>
      </c>
    </row>
    <row r="20" spans="1:16" s="51" customFormat="1">
      <c r="A20" s="49">
        <v>18</v>
      </c>
      <c r="B20" s="62">
        <f t="shared" si="0"/>
        <v>0.58739460761628237</v>
      </c>
      <c r="C20" s="62">
        <f t="shared" si="1"/>
        <v>0.53836113955031628</v>
      </c>
      <c r="D20" s="62">
        <f t="shared" si="2"/>
        <v>0.49362812101131776</v>
      </c>
      <c r="E20" s="62">
        <f t="shared" si="3"/>
        <v>0.45280036884705788</v>
      </c>
      <c r="F20" s="62">
        <f t="shared" si="4"/>
        <v>0.41552065486748291</v>
      </c>
      <c r="G20" s="62">
        <f t="shared" si="5"/>
        <v>0.38146590440919781</v>
      </c>
      <c r="H20" s="62">
        <f t="shared" si="6"/>
        <v>0.35034379112920433</v>
      </c>
      <c r="I20" s="62">
        <f t="shared" si="7"/>
        <v>0.32188968512839716</v>
      </c>
      <c r="J20" s="62">
        <f t="shared" si="8"/>
        <v>0.29586391632159803</v>
      </c>
      <c r="K20" s="62">
        <f t="shared" si="9"/>
        <v>0.27204931922753839</v>
      </c>
      <c r="L20" s="62">
        <f t="shared" si="10"/>
        <v>0.25024902911609143</v>
      </c>
      <c r="M20" s="62">
        <f t="shared" si="11"/>
        <v>0.23028450278045992</v>
      </c>
      <c r="N20" s="62">
        <f t="shared" si="12"/>
        <v>0.21199374015031144</v>
      </c>
      <c r="O20" s="62">
        <f t="shared" si="13"/>
        <v>0.19522968557356682</v>
      </c>
      <c r="P20" s="62">
        <f t="shared" si="14"/>
        <v>0.17985878990921358</v>
      </c>
    </row>
    <row r="21" spans="1:16" s="51" customFormat="1">
      <c r="A21" s="49">
        <v>19</v>
      </c>
      <c r="B21" s="62">
        <f t="shared" si="0"/>
        <v>0.57028602681192464</v>
      </c>
      <c r="C21" s="62">
        <f t="shared" si="1"/>
        <v>0.520155690386779</v>
      </c>
      <c r="D21" s="62">
        <f t="shared" si="2"/>
        <v>0.47464242404934398</v>
      </c>
      <c r="E21" s="62">
        <f t="shared" si="3"/>
        <v>0.43330178837039035</v>
      </c>
      <c r="F21" s="62">
        <f t="shared" si="4"/>
        <v>0.39573395701665037</v>
      </c>
      <c r="G21" s="62">
        <f t="shared" si="5"/>
        <v>0.36157905631203585</v>
      </c>
      <c r="H21" s="62">
        <f t="shared" si="6"/>
        <v>0.33051301049924936</v>
      </c>
      <c r="I21" s="62">
        <f t="shared" si="7"/>
        <v>0.30224383580131192</v>
      </c>
      <c r="J21" s="62">
        <f t="shared" si="8"/>
        <v>0.27650833301083927</v>
      </c>
      <c r="K21" s="62">
        <f t="shared" si="9"/>
        <v>0.25306913416515198</v>
      </c>
      <c r="L21" s="62">
        <f t="shared" si="10"/>
        <v>0.23171206399638095</v>
      </c>
      <c r="M21" s="62">
        <f t="shared" si="11"/>
        <v>0.21224378136447919</v>
      </c>
      <c r="N21" s="62">
        <f t="shared" si="12"/>
        <v>0.19448966986267102</v>
      </c>
      <c r="O21" s="62">
        <f t="shared" si="13"/>
        <v>0.17829195029549483</v>
      </c>
      <c r="P21" s="62">
        <f t="shared" si="14"/>
        <v>0.16350799082655779</v>
      </c>
    </row>
    <row r="22" spans="1:16" s="53" customFormat="1" ht="11.25" customHeight="1">
      <c r="A22" s="52">
        <v>20</v>
      </c>
      <c r="B22" s="63">
        <f t="shared" si="0"/>
        <v>0.55367575418633463</v>
      </c>
      <c r="C22" s="63">
        <f t="shared" si="1"/>
        <v>0.50256588443167061</v>
      </c>
      <c r="D22" s="63">
        <f t="shared" si="2"/>
        <v>0.45638694620129228</v>
      </c>
      <c r="E22" s="63">
        <f t="shared" si="3"/>
        <v>0.41464285968458409</v>
      </c>
      <c r="F22" s="63">
        <f t="shared" si="4"/>
        <v>0.37688948287300034</v>
      </c>
      <c r="G22" s="63">
        <f t="shared" si="5"/>
        <v>0.34272896332894398</v>
      </c>
      <c r="H22" s="63">
        <f t="shared" si="6"/>
        <v>0.31180472688608429</v>
      </c>
      <c r="I22" s="63">
        <f t="shared" si="7"/>
        <v>0.28379702892141967</v>
      </c>
      <c r="J22" s="63">
        <f t="shared" si="8"/>
        <v>0.25841900281386848</v>
      </c>
      <c r="K22" s="63">
        <f t="shared" si="9"/>
        <v>0.23541314806060651</v>
      </c>
      <c r="L22" s="63">
        <f t="shared" si="10"/>
        <v>0.21454820740405642</v>
      </c>
      <c r="M22" s="63">
        <f t="shared" si="11"/>
        <v>0.19561638835435871</v>
      </c>
      <c r="N22" s="63">
        <f t="shared" si="12"/>
        <v>0.17843088978226698</v>
      </c>
      <c r="O22" s="63">
        <f t="shared" si="13"/>
        <v>0.16282369889999529</v>
      </c>
      <c r="P22" s="63">
        <f t="shared" si="14"/>
        <v>0.14864362802414344</v>
      </c>
    </row>
    <row r="23" spans="1:16" s="51" customFormat="1" ht="24.75" customHeight="1">
      <c r="A23" s="49">
        <v>21</v>
      </c>
      <c r="B23" s="62">
        <f t="shared" si="0"/>
        <v>0.53754927590906276</v>
      </c>
      <c r="C23" s="62">
        <f t="shared" si="1"/>
        <v>0.48557090283253201</v>
      </c>
      <c r="D23" s="62">
        <f t="shared" si="2"/>
        <v>0.4388336021166272</v>
      </c>
      <c r="E23" s="62">
        <f t="shared" si="3"/>
        <v>0.39678742553548718</v>
      </c>
      <c r="F23" s="62">
        <f t="shared" si="4"/>
        <v>0.35894236464095269</v>
      </c>
      <c r="G23" s="62">
        <f t="shared" si="5"/>
        <v>0.32486157661511278</v>
      </c>
      <c r="H23" s="62">
        <f t="shared" si="6"/>
        <v>0.294155402722721</v>
      </c>
      <c r="I23" s="62">
        <f t="shared" si="7"/>
        <v>0.26647608349429081</v>
      </c>
      <c r="J23" s="62">
        <f t="shared" si="8"/>
        <v>0.24151308674193314</v>
      </c>
      <c r="K23" s="62">
        <f t="shared" si="9"/>
        <v>0.21898897494009908</v>
      </c>
      <c r="L23" s="62">
        <f t="shared" si="10"/>
        <v>0.19865574759634852</v>
      </c>
      <c r="M23" s="62">
        <f t="shared" si="11"/>
        <v>0.18029160216991588</v>
      </c>
      <c r="N23" s="62">
        <f t="shared" si="12"/>
        <v>0.16369806402042841</v>
      </c>
      <c r="O23" s="62">
        <f t="shared" si="13"/>
        <v>0.14869744191780393</v>
      </c>
      <c r="P23" s="62">
        <f t="shared" si="14"/>
        <v>0.13513057093103947</v>
      </c>
    </row>
    <row r="24" spans="1:16" s="51" customFormat="1">
      <c r="A24" s="49">
        <v>22</v>
      </c>
      <c r="B24" s="62">
        <f t="shared" si="0"/>
        <v>0.52189250088258521</v>
      </c>
      <c r="C24" s="62">
        <f t="shared" si="1"/>
        <v>0.46915063075606961</v>
      </c>
      <c r="D24" s="62">
        <f t="shared" si="2"/>
        <v>0.42195538665060306</v>
      </c>
      <c r="E24" s="62">
        <f t="shared" si="3"/>
        <v>0.37970088567989208</v>
      </c>
      <c r="F24" s="62">
        <f>F23/105%</f>
        <v>0.34184987108662163</v>
      </c>
      <c r="G24" s="62">
        <f t="shared" si="5"/>
        <v>0.3079256650380216</v>
      </c>
      <c r="H24" s="62">
        <f t="shared" si="6"/>
        <v>0.27750509690822733</v>
      </c>
      <c r="I24" s="62">
        <f t="shared" si="7"/>
        <v>0.2502122849711651</v>
      </c>
      <c r="J24" s="62">
        <f t="shared" si="8"/>
        <v>0.22571316517937676</v>
      </c>
      <c r="K24" s="62">
        <f t="shared" si="9"/>
        <v>0.20371067436288287</v>
      </c>
      <c r="L24" s="62">
        <f t="shared" si="10"/>
        <v>0.18394050703365603</v>
      </c>
      <c r="M24" s="62">
        <f t="shared" si="11"/>
        <v>0.16616737527181188</v>
      </c>
      <c r="N24" s="62">
        <f t="shared" si="12"/>
        <v>0.15018171011048478</v>
      </c>
      <c r="O24" s="62">
        <f t="shared" si="13"/>
        <v>0.1357967506098666</v>
      </c>
      <c r="P24" s="62">
        <f t="shared" si="14"/>
        <v>0.12284597357367223</v>
      </c>
    </row>
    <row r="25" spans="1:16" s="51" customFormat="1">
      <c r="A25" s="49">
        <v>23</v>
      </c>
      <c r="B25" s="62">
        <f t="shared" si="0"/>
        <v>0.50669174842969433</v>
      </c>
      <c r="C25" s="62">
        <f t="shared" si="1"/>
        <v>0.45328563358074364</v>
      </c>
      <c r="D25" s="62">
        <f t="shared" si="2"/>
        <v>0.40572633331788754</v>
      </c>
      <c r="E25" s="62">
        <f t="shared" si="3"/>
        <v>0.36335012983721732</v>
      </c>
      <c r="F25" s="62">
        <f t="shared" si="4"/>
        <v>0.32557130579678251</v>
      </c>
      <c r="G25" s="62">
        <f t="shared" si="5"/>
        <v>0.29187266828248493</v>
      </c>
      <c r="H25" s="62">
        <f t="shared" si="6"/>
        <v>0.26179726123417674</v>
      </c>
      <c r="I25" s="62">
        <f t="shared" si="7"/>
        <v>0.23494111264898132</v>
      </c>
      <c r="J25" s="62">
        <f t="shared" si="8"/>
        <v>0.21094688334521192</v>
      </c>
      <c r="K25" s="62">
        <f t="shared" si="9"/>
        <v>0.18949830173291429</v>
      </c>
      <c r="L25" s="62">
        <f t="shared" si="10"/>
        <v>0.17031528429042223</v>
      </c>
      <c r="M25" s="62">
        <f t="shared" si="11"/>
        <v>0.15314965462839805</v>
      </c>
      <c r="N25" s="62">
        <f t="shared" si="12"/>
        <v>0.1377813854224631</v>
      </c>
      <c r="O25" s="62">
        <f t="shared" si="13"/>
        <v>0.12401529736060876</v>
      </c>
      <c r="P25" s="62">
        <f t="shared" si="14"/>
        <v>0.11167815779424747</v>
      </c>
    </row>
    <row r="26" spans="1:16" s="51" customFormat="1">
      <c r="A26" s="49">
        <v>24</v>
      </c>
      <c r="B26" s="62">
        <f t="shared" si="0"/>
        <v>0.49193373633950904</v>
      </c>
      <c r="C26" s="62">
        <f t="shared" si="1"/>
        <v>0.43795713389443836</v>
      </c>
      <c r="D26" s="62">
        <f t="shared" si="2"/>
        <v>0.39012147434412264</v>
      </c>
      <c r="E26" s="62">
        <f t="shared" si="3"/>
        <v>0.34770347352843767</v>
      </c>
      <c r="F26" s="62">
        <f t="shared" si="4"/>
        <v>0.31006791028265002</v>
      </c>
      <c r="G26" s="62">
        <f t="shared" si="5"/>
        <v>0.27665655761372981</v>
      </c>
      <c r="H26" s="62">
        <f t="shared" si="6"/>
        <v>0.24697854833412899</v>
      </c>
      <c r="I26" s="62">
        <f t="shared" si="7"/>
        <v>0.22060198370796369</v>
      </c>
      <c r="J26" s="62">
        <f t="shared" si="8"/>
        <v>0.19714661994879618</v>
      </c>
      <c r="K26" s="62">
        <f t="shared" si="9"/>
        <v>0.17627748998410633</v>
      </c>
      <c r="L26" s="62">
        <f t="shared" si="10"/>
        <v>0.15769933730594649</v>
      </c>
      <c r="M26" s="62">
        <f t="shared" si="11"/>
        <v>0.14115175541787839</v>
      </c>
      <c r="N26" s="62">
        <f t="shared" si="12"/>
        <v>0.1264049407545533</v>
      </c>
      <c r="O26" s="62">
        <f t="shared" si="13"/>
        <v>0.11325597932475687</v>
      </c>
      <c r="P26" s="62">
        <f t="shared" si="14"/>
        <v>0.10152559799477043</v>
      </c>
    </row>
    <row r="27" spans="1:16" s="53" customFormat="1" ht="12" customHeight="1">
      <c r="A27" s="52">
        <v>25</v>
      </c>
      <c r="B27" s="63">
        <f t="shared" si="0"/>
        <v>0.47760556926165926</v>
      </c>
      <c r="C27" s="63">
        <f t="shared" si="1"/>
        <v>0.42314698926998878</v>
      </c>
      <c r="D27" s="63">
        <f t="shared" si="2"/>
        <v>0.37511680225396404</v>
      </c>
      <c r="E27" s="63">
        <f t="shared" si="3"/>
        <v>0.33273059667793081</v>
      </c>
      <c r="F27" s="63">
        <f t="shared" si="4"/>
        <v>0.29530277169776192</v>
      </c>
      <c r="G27" s="63">
        <f t="shared" si="5"/>
        <v>0.26223370389926998</v>
      </c>
      <c r="H27" s="63">
        <f t="shared" si="6"/>
        <v>0.23299863050389527</v>
      </c>
      <c r="I27" s="63">
        <f t="shared" si="7"/>
        <v>0.20713801287132741</v>
      </c>
      <c r="J27" s="63">
        <f t="shared" si="8"/>
        <v>0.1842491775222394</v>
      </c>
      <c r="K27" s="63">
        <f t="shared" si="9"/>
        <v>0.16397906045033148</v>
      </c>
      <c r="L27" s="63">
        <f t="shared" si="10"/>
        <v>0.14601790491291342</v>
      </c>
      <c r="M27" s="63">
        <f t="shared" si="11"/>
        <v>0.13009378379527964</v>
      </c>
      <c r="N27" s="63">
        <f t="shared" si="12"/>
        <v>0.11596783555463605</v>
      </c>
      <c r="O27" s="63">
        <f t="shared" si="13"/>
        <v>0.10343011810480079</v>
      </c>
      <c r="P27" s="63">
        <f t="shared" si="14"/>
        <v>9.229599817706402E-2</v>
      </c>
    </row>
    <row r="28" spans="1:16" s="51" customFormat="1" ht="1.5" hidden="1" customHeight="1">
      <c r="A28" s="49">
        <v>26</v>
      </c>
      <c r="B28" s="62">
        <f t="shared" si="0"/>
        <v>0.4636947274385041</v>
      </c>
      <c r="C28" s="62">
        <f t="shared" si="1"/>
        <v>0.40883767079225974</v>
      </c>
      <c r="D28" s="62">
        <f t="shared" si="2"/>
        <v>0.3606892329365039</v>
      </c>
      <c r="E28" s="62">
        <f t="shared" si="3"/>
        <v>0.31840248485926398</v>
      </c>
      <c r="F28" s="62">
        <f t="shared" si="4"/>
        <v>0.28124073495024943</v>
      </c>
      <c r="G28" s="62">
        <f t="shared" si="5"/>
        <v>0.24856275251115639</v>
      </c>
      <c r="H28" s="62">
        <f t="shared" si="6"/>
        <v>0.21981002877725969</v>
      </c>
      <c r="I28" s="62">
        <f t="shared" si="7"/>
        <v>0.19449578673364076</v>
      </c>
      <c r="J28" s="62">
        <f t="shared" si="8"/>
        <v>0.17219549301143869</v>
      </c>
      <c r="K28" s="62">
        <f t="shared" si="9"/>
        <v>0.15253866088402929</v>
      </c>
      <c r="L28" s="62">
        <f t="shared" si="10"/>
        <v>0.13520176380825316</v>
      </c>
      <c r="M28" s="62">
        <f t="shared" si="11"/>
        <v>0.11990210488044206</v>
      </c>
      <c r="N28" s="62">
        <f t="shared" si="12"/>
        <v>0.10639250968315234</v>
      </c>
      <c r="O28" s="62">
        <f t="shared" si="13"/>
        <v>9.4456728862831782E-2</v>
      </c>
      <c r="P28" s="62">
        <f t="shared" si="14"/>
        <v>8.3905452888240015E-2</v>
      </c>
    </row>
    <row r="29" spans="1:16" s="51" customFormat="1" hidden="1">
      <c r="A29" s="49">
        <v>27</v>
      </c>
      <c r="B29" s="62">
        <f t="shared" si="0"/>
        <v>0.45018905576553797</v>
      </c>
      <c r="C29" s="62">
        <f t="shared" si="1"/>
        <v>0.39501224231136212</v>
      </c>
      <c r="D29" s="62">
        <f t="shared" si="2"/>
        <v>0.34681657013125372</v>
      </c>
      <c r="E29" s="62">
        <f t="shared" si="3"/>
        <v>0.30469137307106603</v>
      </c>
      <c r="F29" s="62">
        <f t="shared" si="4"/>
        <v>0.26784831900023753</v>
      </c>
      <c r="G29" s="62">
        <f t="shared" si="5"/>
        <v>0.23560450474991129</v>
      </c>
      <c r="H29" s="62">
        <f t="shared" si="6"/>
        <v>0.20736795167666008</v>
      </c>
      <c r="I29" s="62">
        <f t="shared" si="7"/>
        <v>0.1826251518625735</v>
      </c>
      <c r="J29" s="62">
        <f t="shared" si="8"/>
        <v>0.16093036730040999</v>
      </c>
      <c r="K29" s="62">
        <f t="shared" si="9"/>
        <v>0.14189642872932959</v>
      </c>
      <c r="L29" s="62">
        <f t="shared" si="10"/>
        <v>0.12518681834097514</v>
      </c>
      <c r="M29" s="62">
        <f t="shared" si="11"/>
        <v>0.11050885242437057</v>
      </c>
      <c r="N29" s="62">
        <f t="shared" si="12"/>
        <v>9.7607807048763609E-2</v>
      </c>
      <c r="O29" s="62">
        <f t="shared" si="13"/>
        <v>8.6261852842768758E-2</v>
      </c>
      <c r="P29" s="62">
        <f t="shared" si="14"/>
        <v>7.6277684443854549E-2</v>
      </c>
    </row>
    <row r="30" spans="1:16" s="51" customFormat="1" hidden="1">
      <c r="A30" s="49">
        <v>28</v>
      </c>
      <c r="B30" s="62">
        <f t="shared" si="0"/>
        <v>0.43707675317042521</v>
      </c>
      <c r="C30" s="62">
        <f t="shared" si="1"/>
        <v>0.38165434039745133</v>
      </c>
      <c r="D30" s="62">
        <f t="shared" si="2"/>
        <v>0.33347747128005162</v>
      </c>
      <c r="E30" s="62">
        <f t="shared" si="3"/>
        <v>0.29157069193403451</v>
      </c>
      <c r="F30" s="62">
        <f t="shared" si="4"/>
        <v>0.25509363714308336</v>
      </c>
      <c r="G30" s="62">
        <f t="shared" si="5"/>
        <v>0.2233218054501529</v>
      </c>
      <c r="H30" s="62">
        <f t="shared" si="6"/>
        <v>0.19563014309118876</v>
      </c>
      <c r="I30" s="62">
        <f t="shared" si="7"/>
        <v>0.17147901583340236</v>
      </c>
      <c r="J30" s="62">
        <f t="shared" si="8"/>
        <v>0.1504022124302897</v>
      </c>
      <c r="K30" s="62">
        <f t="shared" si="9"/>
        <v>0.13199667788774846</v>
      </c>
      <c r="L30" s="62">
        <f t="shared" si="10"/>
        <v>0.11591372068608809</v>
      </c>
      <c r="M30" s="62">
        <f t="shared" si="11"/>
        <v>0.1018514768888208</v>
      </c>
      <c r="N30" s="62">
        <f t="shared" si="12"/>
        <v>8.9548446833728076E-2</v>
      </c>
      <c r="O30" s="62">
        <f t="shared" si="13"/>
        <v>7.8777947801615303E-2</v>
      </c>
      <c r="P30" s="62">
        <f t="shared" si="14"/>
        <v>6.9343349494413217E-2</v>
      </c>
    </row>
    <row r="31" spans="1:16" s="51" customFormat="1" hidden="1">
      <c r="A31" s="49">
        <v>29</v>
      </c>
      <c r="B31" s="62">
        <f t="shared" si="0"/>
        <v>0.42434636230138367</v>
      </c>
      <c r="C31" s="62">
        <f t="shared" si="1"/>
        <v>0.36874815497338298</v>
      </c>
      <c r="D31" s="62">
        <f t="shared" si="2"/>
        <v>0.32065141469235731</v>
      </c>
      <c r="E31" s="62">
        <f t="shared" si="3"/>
        <v>0.27901501620481772</v>
      </c>
      <c r="F31" s="62">
        <f t="shared" si="4"/>
        <v>0.2429463210886508</v>
      </c>
      <c r="G31" s="62">
        <f t="shared" si="5"/>
        <v>0.21167943644564258</v>
      </c>
      <c r="H31" s="62">
        <f t="shared" si="6"/>
        <v>0.1845567387652724</v>
      </c>
      <c r="I31" s="62">
        <f t="shared" si="7"/>
        <v>0.16101316040695057</v>
      </c>
      <c r="J31" s="62">
        <f t="shared" si="8"/>
        <v>0.14056281535541093</v>
      </c>
      <c r="K31" s="62">
        <f t="shared" si="9"/>
        <v>0.12278760733744044</v>
      </c>
      <c r="L31" s="62">
        <f t="shared" si="10"/>
        <v>0.10732751915378526</v>
      </c>
      <c r="M31" s="62">
        <f t="shared" si="11"/>
        <v>9.3872328929788765E-2</v>
      </c>
      <c r="N31" s="62">
        <f t="shared" si="12"/>
        <v>8.215453837956703E-2</v>
      </c>
      <c r="O31" s="62">
        <f t="shared" si="13"/>
        <v>7.1943331325676083E-2</v>
      </c>
      <c r="P31" s="62">
        <f t="shared" si="14"/>
        <v>6.3039408631284738E-2</v>
      </c>
    </row>
    <row r="32" spans="1:16" s="51" customFormat="1" ht="19.5" customHeight="1">
      <c r="A32" s="49">
        <v>30</v>
      </c>
      <c r="B32" s="62">
        <f t="shared" si="0"/>
        <v>0.41198675951590646</v>
      </c>
      <c r="C32" s="62">
        <f t="shared" si="1"/>
        <v>0.35627841060230242</v>
      </c>
      <c r="D32" s="62">
        <f t="shared" si="2"/>
        <v>0.3083186679734205</v>
      </c>
      <c r="E32" s="62">
        <f t="shared" si="3"/>
        <v>0.26700001550700264</v>
      </c>
      <c r="F32" s="62">
        <f t="shared" si="4"/>
        <v>0.23137744865585791</v>
      </c>
      <c r="G32" s="62">
        <f t="shared" si="5"/>
        <v>0.20064401558828682</v>
      </c>
      <c r="H32" s="62">
        <f t="shared" si="6"/>
        <v>0.17411013091063432</v>
      </c>
      <c r="I32" s="62">
        <f t="shared" si="7"/>
        <v>0.15118606610981275</v>
      </c>
      <c r="J32" s="62">
        <f t="shared" si="8"/>
        <v>0.13136711715458965</v>
      </c>
      <c r="K32" s="62">
        <f t="shared" si="9"/>
        <v>0.11422103008133995</v>
      </c>
      <c r="L32" s="62">
        <f t="shared" si="10"/>
        <v>9.9377332549801162E-2</v>
      </c>
      <c r="M32" s="62">
        <f t="shared" si="11"/>
        <v>8.6518275511326057E-2</v>
      </c>
      <c r="N32" s="62">
        <f t="shared" si="12"/>
        <v>7.5371136128043137E-2</v>
      </c>
      <c r="O32" s="62">
        <f t="shared" si="13"/>
        <v>6.5701672443539805E-2</v>
      </c>
      <c r="P32" s="62">
        <f t="shared" si="14"/>
        <v>5.7308553301167936E-2</v>
      </c>
    </row>
    <row r="33" spans="1:16" hidden="1">
      <c r="A33" s="49">
        <v>31</v>
      </c>
      <c r="B33" s="62">
        <f t="shared" si="0"/>
        <v>0.39998714516107425</v>
      </c>
      <c r="C33" s="62">
        <f t="shared" si="1"/>
        <v>0.34423034840802169</v>
      </c>
      <c r="D33" s="62">
        <f t="shared" si="2"/>
        <v>0.29646025766675049</v>
      </c>
      <c r="E33" s="62">
        <f t="shared" si="3"/>
        <v>0.25550240718373463</v>
      </c>
      <c r="F33" s="62">
        <f t="shared" si="4"/>
        <v>0.22035947491034086</v>
      </c>
      <c r="G33" s="62">
        <f t="shared" si="5"/>
        <v>0.1901839010315515</v>
      </c>
      <c r="H33" s="62">
        <f t="shared" si="6"/>
        <v>0.16425484048173047</v>
      </c>
      <c r="I33" s="62">
        <f t="shared" si="7"/>
        <v>0.14195874752095095</v>
      </c>
      <c r="J33" s="62">
        <f t="shared" si="8"/>
        <v>0.12277300668653238</v>
      </c>
      <c r="K33" s="62">
        <f t="shared" si="9"/>
        <v>0.10625212100589763</v>
      </c>
      <c r="L33" s="62">
        <f t="shared" si="10"/>
        <v>9.2016048657223293E-2</v>
      </c>
      <c r="M33" s="62">
        <f t="shared" si="11"/>
        <v>7.9740346093388079E-2</v>
      </c>
      <c r="N33" s="62">
        <f t="shared" si="12"/>
        <v>6.9147831310131316E-2</v>
      </c>
      <c r="O33" s="62">
        <f t="shared" si="13"/>
        <v>6.0001527345698455E-2</v>
      </c>
      <c r="P33" s="62">
        <f t="shared" si="14"/>
        <v>5.2098684819243575E-2</v>
      </c>
    </row>
    <row r="34" spans="1:16" hidden="1">
      <c r="A34" s="49">
        <v>32</v>
      </c>
      <c r="B34" s="62">
        <f t="shared" si="0"/>
        <v>0.3883370341369653</v>
      </c>
      <c r="C34" s="62">
        <f t="shared" si="1"/>
        <v>0.33258970860678427</v>
      </c>
      <c r="D34" s="62">
        <f t="shared" si="2"/>
        <v>0.28505794006418317</v>
      </c>
      <c r="E34" s="62">
        <f t="shared" si="3"/>
        <v>0.24449991118060732</v>
      </c>
      <c r="F34" s="62">
        <f t="shared" si="4"/>
        <v>0.20986616658127699</v>
      </c>
      <c r="G34" s="62">
        <f t="shared" si="5"/>
        <v>0.18026910050384029</v>
      </c>
      <c r="H34" s="62">
        <f t="shared" si="6"/>
        <v>0.1549573966808778</v>
      </c>
      <c r="I34" s="62">
        <f t="shared" si="7"/>
        <v>0.13329459861122156</v>
      </c>
      <c r="J34" s="62">
        <f t="shared" si="8"/>
        <v>0.11474112774442277</v>
      </c>
      <c r="K34" s="62">
        <f t="shared" si="9"/>
        <v>9.8839182331067574E-2</v>
      </c>
      <c r="L34" s="62">
        <f t="shared" si="10"/>
        <v>8.5200045052984522E-2</v>
      </c>
      <c r="M34" s="62">
        <f t="shared" si="11"/>
        <v>7.3493406537684866E-2</v>
      </c>
      <c r="N34" s="62">
        <f t="shared" si="12"/>
        <v>6.3438377348744315E-2</v>
      </c>
      <c r="O34" s="62">
        <f t="shared" si="13"/>
        <v>5.4795915384199506E-2</v>
      </c>
      <c r="P34" s="62">
        <f t="shared" si="14"/>
        <v>4.7362440744766886E-2</v>
      </c>
    </row>
    <row r="35" spans="1:16" hidden="1">
      <c r="A35" s="49">
        <v>33</v>
      </c>
      <c r="B35" s="62">
        <f t="shared" si="0"/>
        <v>0.37702624673491775</v>
      </c>
      <c r="C35" s="62">
        <f t="shared" si="1"/>
        <v>0.32134271362974326</v>
      </c>
      <c r="D35" s="62">
        <f t="shared" si="2"/>
        <v>0.27409417313863765</v>
      </c>
      <c r="E35" s="62">
        <f t="shared" si="3"/>
        <v>0.23397120687139458</v>
      </c>
      <c r="F35" s="62">
        <f t="shared" si="4"/>
        <v>0.19987253960121618</v>
      </c>
      <c r="G35" s="62">
        <f t="shared" si="5"/>
        <v>0.17087118531169695</v>
      </c>
      <c r="H35" s="62">
        <f t="shared" si="6"/>
        <v>0.14618622328384698</v>
      </c>
      <c r="I35" s="62">
        <f t="shared" si="7"/>
        <v>0.12515924752227378</v>
      </c>
      <c r="J35" s="62">
        <f t="shared" si="8"/>
        <v>0.10723469882656333</v>
      </c>
      <c r="K35" s="62">
        <f t="shared" si="9"/>
        <v>9.1943425424248909E-2</v>
      </c>
      <c r="L35" s="62">
        <f t="shared" si="10"/>
        <v>7.8888930604615298E-2</v>
      </c>
      <c r="M35" s="62">
        <f t="shared" si="11"/>
        <v>6.7735858560078216E-2</v>
      </c>
      <c r="N35" s="62">
        <f t="shared" si="12"/>
        <v>5.8200346191508545E-2</v>
      </c>
      <c r="O35" s="62">
        <f t="shared" si="13"/>
        <v>5.0041931857716444E-2</v>
      </c>
      <c r="P35" s="62">
        <f t="shared" si="14"/>
        <v>4.3056764313424437E-2</v>
      </c>
    </row>
    <row r="36" spans="1:16" hidden="1">
      <c r="A36" s="49">
        <v>34</v>
      </c>
      <c r="B36" s="62">
        <f t="shared" si="0"/>
        <v>0.3660448997426386</v>
      </c>
      <c r="C36" s="62">
        <f t="shared" si="1"/>
        <v>0.3104760518161771</v>
      </c>
      <c r="D36" s="62">
        <f t="shared" si="2"/>
        <v>0.26355208955638237</v>
      </c>
      <c r="E36" s="62">
        <f t="shared" si="3"/>
        <v>0.22389589174296134</v>
      </c>
      <c r="F36" s="62">
        <f t="shared" si="4"/>
        <v>0.19035479962020588</v>
      </c>
      <c r="G36" s="62">
        <f t="shared" si="5"/>
        <v>0.16196320882625304</v>
      </c>
      <c r="H36" s="62">
        <f t="shared" si="6"/>
        <v>0.13791153139985562</v>
      </c>
      <c r="I36" s="62">
        <f t="shared" si="7"/>
        <v>0.11752042020870779</v>
      </c>
      <c r="J36" s="62">
        <f t="shared" si="8"/>
        <v>0.10021934469772274</v>
      </c>
      <c r="K36" s="62">
        <f t="shared" si="9"/>
        <v>8.5528767836510616E-2</v>
      </c>
      <c r="L36" s="62">
        <f t="shared" si="10"/>
        <v>7.3045306115384526E-2</v>
      </c>
      <c r="M36" s="62">
        <f t="shared" si="11"/>
        <v>6.242936272818269E-2</v>
      </c>
      <c r="N36" s="62">
        <f t="shared" si="12"/>
        <v>5.3394813019732604E-2</v>
      </c>
      <c r="O36" s="62">
        <f t="shared" si="13"/>
        <v>4.5700394390608627E-2</v>
      </c>
      <c r="P36" s="62">
        <f t="shared" si="14"/>
        <v>3.9142513012204033E-2</v>
      </c>
    </row>
    <row r="37" spans="1:16" s="51" customFormat="1">
      <c r="A37" s="49">
        <v>35</v>
      </c>
      <c r="B37" s="62">
        <f t="shared" si="0"/>
        <v>0.35538339780838696</v>
      </c>
      <c r="C37" s="62">
        <f t="shared" si="1"/>
        <v>0.29997686165814214</v>
      </c>
      <c r="D37" s="62">
        <f t="shared" si="2"/>
        <v>0.25341547072729076</v>
      </c>
      <c r="E37" s="62">
        <f t="shared" si="3"/>
        <v>0.21425444185929315</v>
      </c>
      <c r="F37" s="62">
        <f t="shared" si="4"/>
        <v>0.18129028535257702</v>
      </c>
      <c r="G37" s="62">
        <f t="shared" si="5"/>
        <v>0.15351962921919721</v>
      </c>
      <c r="H37" s="62">
        <f t="shared" si="6"/>
        <v>0.13010521830175059</v>
      </c>
      <c r="I37" s="62">
        <f t="shared" si="7"/>
        <v>0.11034781240254253</v>
      </c>
      <c r="J37" s="62">
        <f t="shared" si="8"/>
        <v>9.3662938969834339E-2</v>
      </c>
      <c r="K37" s="62">
        <f t="shared" si="9"/>
        <v>7.956164449907964E-2</v>
      </c>
      <c r="L37" s="62">
        <f t="shared" si="10"/>
        <v>6.7634542699430117E-2</v>
      </c>
      <c r="M37" s="62">
        <f t="shared" si="11"/>
        <v>5.7538583159615388E-2</v>
      </c>
      <c r="N37" s="62">
        <f t="shared" si="12"/>
        <v>4.8986066990580369E-2</v>
      </c>
      <c r="O37" s="62">
        <f t="shared" si="13"/>
        <v>4.1735519991423407E-2</v>
      </c>
      <c r="P37" s="62">
        <f t="shared" si="14"/>
        <v>3.5584102738367297E-2</v>
      </c>
    </row>
    <row r="38" spans="1:16" ht="0.75" customHeight="1">
      <c r="A38" s="49">
        <v>36</v>
      </c>
      <c r="B38" s="62">
        <f t="shared" si="0"/>
        <v>0.34503242505668635</v>
      </c>
      <c r="C38" s="62">
        <f t="shared" si="1"/>
        <v>0.28983271657791515</v>
      </c>
      <c r="D38" s="62">
        <f t="shared" si="2"/>
        <v>0.24366872185316418</v>
      </c>
      <c r="E38" s="62">
        <f t="shared" si="3"/>
        <v>0.20502817402803175</v>
      </c>
      <c r="F38" s="62">
        <f t="shared" si="4"/>
        <v>0.17265741462150191</v>
      </c>
      <c r="G38" s="62">
        <f t="shared" si="5"/>
        <v>0.14551623622672721</v>
      </c>
      <c r="H38" s="62">
        <f t="shared" si="6"/>
        <v>0.12274077198278358</v>
      </c>
      <c r="I38" s="62">
        <f t="shared" si="7"/>
        <v>0.10361296939205872</v>
      </c>
      <c r="J38" s="62">
        <f t="shared" si="8"/>
        <v>8.7535456981153587E-2</v>
      </c>
      <c r="K38" s="62">
        <f t="shared" si="9"/>
        <v>7.4010832092167106E-2</v>
      </c>
      <c r="L38" s="62">
        <f t="shared" si="10"/>
        <v>6.2624576573546406E-2</v>
      </c>
      <c r="M38" s="62">
        <f t="shared" si="11"/>
        <v>5.3030952220843676E-2</v>
      </c>
      <c r="N38" s="62">
        <f t="shared" si="12"/>
        <v>4.4941345862917766E-2</v>
      </c>
      <c r="O38" s="62">
        <f t="shared" si="13"/>
        <v>3.8114630129153795E-2</v>
      </c>
      <c r="P38" s="62">
        <f t="shared" si="14"/>
        <v>3.2349184307606631E-2</v>
      </c>
    </row>
    <row r="39" spans="1:16" hidden="1">
      <c r="A39" s="49">
        <v>37</v>
      </c>
      <c r="B39" s="62">
        <f t="shared" si="0"/>
        <v>0.33498293694823916</v>
      </c>
      <c r="C39" s="62">
        <f t="shared" si="1"/>
        <v>0.28003161022020789</v>
      </c>
      <c r="D39" s="62">
        <f t="shared" si="2"/>
        <v>0.23429684793573477</v>
      </c>
      <c r="E39" s="62">
        <f t="shared" si="3"/>
        <v>0.19619920959620266</v>
      </c>
      <c r="F39" s="62">
        <f t="shared" si="4"/>
        <v>0.16443563297285896</v>
      </c>
      <c r="G39" s="62">
        <f t="shared" si="5"/>
        <v>0.13793008173149499</v>
      </c>
      <c r="H39" s="62">
        <f t="shared" si="6"/>
        <v>0.11579318111583356</v>
      </c>
      <c r="I39" s="62">
        <f t="shared" si="7"/>
        <v>9.7289173138083301E-2</v>
      </c>
      <c r="J39" s="62">
        <f t="shared" si="8"/>
        <v>8.180883830014353E-2</v>
      </c>
      <c r="K39" s="62">
        <f t="shared" si="9"/>
        <v>6.8847285667132191E-2</v>
      </c>
      <c r="L39" s="62">
        <f t="shared" si="10"/>
        <v>5.7985719049580005E-2</v>
      </c>
      <c r="M39" s="62">
        <f t="shared" si="11"/>
        <v>4.8876453659763758E-2</v>
      </c>
      <c r="N39" s="62">
        <f t="shared" si="12"/>
        <v>4.123059253478694E-2</v>
      </c>
      <c r="O39" s="62">
        <f t="shared" si="13"/>
        <v>3.4807881396487488E-2</v>
      </c>
      <c r="P39" s="62">
        <f t="shared" si="14"/>
        <v>2.9408349370551479E-2</v>
      </c>
    </row>
    <row r="40" spans="1:16" hidden="1">
      <c r="A40" s="49">
        <v>38</v>
      </c>
      <c r="B40" s="62">
        <f t="shared" si="0"/>
        <v>0.3252261523769312</v>
      </c>
      <c r="C40" s="62">
        <f t="shared" si="1"/>
        <v>0.27056194224174679</v>
      </c>
      <c r="D40" s="62">
        <f t="shared" si="2"/>
        <v>0.22528543070743728</v>
      </c>
      <c r="E40" s="62">
        <f t="shared" si="3"/>
        <v>0.18775043980497863</v>
      </c>
      <c r="F40" s="62">
        <f t="shared" si="4"/>
        <v>0.15660536473605616</v>
      </c>
      <c r="G40" s="62">
        <f t="shared" si="5"/>
        <v>0.13073941396350236</v>
      </c>
      <c r="H40" s="62">
        <f t="shared" si="6"/>
        <v>0.10923885010927693</v>
      </c>
      <c r="I40" s="62">
        <f t="shared" si="7"/>
        <v>9.1351336279890422E-2</v>
      </c>
      <c r="J40" s="62">
        <f t="shared" si="8"/>
        <v>7.6456858224433197E-2</v>
      </c>
      <c r="K40" s="62">
        <f t="shared" si="9"/>
        <v>6.404398666709972E-2</v>
      </c>
      <c r="L40" s="62">
        <f t="shared" si="10"/>
        <v>5.3690480601462962E-2</v>
      </c>
      <c r="M40" s="62">
        <f t="shared" si="11"/>
        <v>4.5047422727892868E-2</v>
      </c>
      <c r="N40" s="62">
        <f t="shared" si="12"/>
        <v>3.7826231683290766E-2</v>
      </c>
      <c r="O40" s="62">
        <f t="shared" si="13"/>
        <v>3.1788019540171221E-2</v>
      </c>
      <c r="P40" s="62">
        <f t="shared" si="14"/>
        <v>2.6734863064137707E-2</v>
      </c>
    </row>
    <row r="41" spans="1:16" hidden="1">
      <c r="A41" s="49">
        <v>39</v>
      </c>
      <c r="B41" s="62">
        <f t="shared" si="0"/>
        <v>0.31575354599702055</v>
      </c>
      <c r="C41" s="62">
        <f t="shared" si="1"/>
        <v>0.26141250458139786</v>
      </c>
      <c r="D41" s="62">
        <f t="shared" si="2"/>
        <v>0.21662060644945891</v>
      </c>
      <c r="E41" s="62">
        <f t="shared" si="3"/>
        <v>0.17966549263634321</v>
      </c>
      <c r="F41" s="62">
        <f t="shared" si="4"/>
        <v>0.14914796641529157</v>
      </c>
      <c r="G41" s="62">
        <f t="shared" si="5"/>
        <v>0.12392361513128186</v>
      </c>
      <c r="H41" s="62">
        <f t="shared" si="6"/>
        <v>0.10305551897101597</v>
      </c>
      <c r="I41" s="62">
        <f t="shared" si="7"/>
        <v>8.5775902610225746E-2</v>
      </c>
      <c r="J41" s="62">
        <f t="shared" si="8"/>
        <v>7.1455007686386157E-2</v>
      </c>
      <c r="K41" s="62">
        <f t="shared" si="9"/>
        <v>5.9575801550790439E-2</v>
      </c>
      <c r="L41" s="62">
        <f t="shared" si="10"/>
        <v>4.9713407964317551E-2</v>
      </c>
      <c r="M41" s="62">
        <f t="shared" si="11"/>
        <v>4.1518361961191581E-2</v>
      </c>
      <c r="N41" s="62">
        <f t="shared" si="12"/>
        <v>3.4702964847055748E-2</v>
      </c>
      <c r="O41" s="62">
        <f t="shared" si="13"/>
        <v>2.9030154831206596E-2</v>
      </c>
      <c r="P41" s="62">
        <f t="shared" si="14"/>
        <v>2.4304420967397912E-2</v>
      </c>
    </row>
    <row r="42" spans="1:16" ht="18.75" customHeight="1">
      <c r="A42" s="49">
        <v>40</v>
      </c>
      <c r="B42" s="62">
        <f t="shared" si="0"/>
        <v>0.30655684077380635</v>
      </c>
      <c r="C42" s="62">
        <f t="shared" si="1"/>
        <v>0.25257246819458734</v>
      </c>
      <c r="D42" s="62">
        <f t="shared" si="2"/>
        <v>0.20828904466294126</v>
      </c>
      <c r="E42" s="62">
        <f t="shared" si="3"/>
        <v>0.17192870108740979</v>
      </c>
      <c r="F42" s="62">
        <f t="shared" si="4"/>
        <v>0.14204568230027767</v>
      </c>
      <c r="G42" s="62">
        <f t="shared" si="5"/>
        <v>0.11746314230453257</v>
      </c>
      <c r="H42" s="62">
        <f t="shared" si="6"/>
        <v>9.7222187708505631E-2</v>
      </c>
      <c r="I42" s="62">
        <f t="shared" si="7"/>
        <v>8.0540753624625122E-2</v>
      </c>
      <c r="J42" s="62">
        <f t="shared" si="8"/>
        <v>6.6780381015314166E-2</v>
      </c>
      <c r="K42" s="62">
        <f t="shared" si="9"/>
        <v>5.541935027980506E-2</v>
      </c>
      <c r="L42" s="62">
        <f t="shared" si="10"/>
        <v>4.6030933300294022E-2</v>
      </c>
      <c r="M42" s="62">
        <f t="shared" si="11"/>
        <v>3.8265771392803301E-2</v>
      </c>
      <c r="N42" s="62">
        <f t="shared" si="12"/>
        <v>3.1837582428491509E-2</v>
      </c>
      <c r="O42" s="62">
        <f t="shared" si="13"/>
        <v>2.6511556923476343E-2</v>
      </c>
      <c r="P42" s="62">
        <f t="shared" si="14"/>
        <v>2.2094928152179918E-2</v>
      </c>
    </row>
    <row r="43" spans="1:16" hidden="1">
      <c r="A43" s="49">
        <v>41</v>
      </c>
      <c r="B43" s="62">
        <f t="shared" si="0"/>
        <v>0.29762800075126827</v>
      </c>
      <c r="C43" s="62">
        <f t="shared" si="1"/>
        <v>0.2440313702363163</v>
      </c>
      <c r="D43" s="62">
        <f t="shared" si="2"/>
        <v>0.20027792756052043</v>
      </c>
      <c r="E43" s="62">
        <f t="shared" si="3"/>
        <v>0.16452507281091847</v>
      </c>
      <c r="F43" s="62">
        <f t="shared" si="4"/>
        <v>0.13528160219074065</v>
      </c>
      <c r="G43" s="62">
        <f t="shared" si="5"/>
        <v>0.11133947137870387</v>
      </c>
      <c r="H43" s="62">
        <f t="shared" si="6"/>
        <v>9.1719045008024178E-2</v>
      </c>
      <c r="I43" s="62">
        <f t="shared" si="7"/>
        <v>7.5625120774295895E-2</v>
      </c>
      <c r="J43" s="62">
        <f t="shared" si="8"/>
        <v>6.2411571042349685E-2</v>
      </c>
      <c r="K43" s="62">
        <f t="shared" si="9"/>
        <v>5.1552883981214014E-2</v>
      </c>
      <c r="L43" s="62">
        <f t="shared" si="10"/>
        <v>4.2621234537309274E-2</v>
      </c>
      <c r="M43" s="62">
        <f t="shared" si="11"/>
        <v>3.5267992067099817E-2</v>
      </c>
      <c r="N43" s="62">
        <f t="shared" si="12"/>
        <v>2.9208791218799549E-2</v>
      </c>
      <c r="O43" s="62">
        <f t="shared" si="13"/>
        <v>2.4211467510024058E-2</v>
      </c>
      <c r="P43" s="62">
        <f t="shared" si="14"/>
        <v>2.0086298320163561E-2</v>
      </c>
    </row>
    <row r="44" spans="1:16" hidden="1">
      <c r="A44" s="49">
        <v>42</v>
      </c>
      <c r="B44" s="62">
        <f t="shared" si="0"/>
        <v>0.28895922403035756</v>
      </c>
      <c r="C44" s="62">
        <f t="shared" si="1"/>
        <v>0.2357791016776003</v>
      </c>
      <c r="D44" s="62">
        <f t="shared" si="2"/>
        <v>0.19257493034665427</v>
      </c>
      <c r="E44" s="62">
        <f t="shared" si="3"/>
        <v>0.15744026106307987</v>
      </c>
      <c r="F44" s="62">
        <f t="shared" si="4"/>
        <v>0.12883962113403871</v>
      </c>
      <c r="G44" s="62">
        <f t="shared" si="5"/>
        <v>0.10553504396085675</v>
      </c>
      <c r="H44" s="62">
        <f t="shared" si="6"/>
        <v>8.6527400950966199E-2</v>
      </c>
      <c r="I44" s="62">
        <f t="shared" si="7"/>
        <v>7.1009503074456248E-2</v>
      </c>
      <c r="J44" s="62">
        <f t="shared" si="8"/>
        <v>5.8328571067616526E-2</v>
      </c>
      <c r="K44" s="62">
        <f t="shared" si="9"/>
        <v>4.7956171145315363E-2</v>
      </c>
      <c r="L44" s="62">
        <f t="shared" si="10"/>
        <v>3.9464106053064142E-2</v>
      </c>
      <c r="M44" s="62">
        <f t="shared" si="11"/>
        <v>3.2505061812995222E-2</v>
      </c>
      <c r="N44" s="62">
        <f t="shared" si="12"/>
        <v>2.6797056164036281E-2</v>
      </c>
      <c r="O44" s="62">
        <f t="shared" si="13"/>
        <v>2.2110929232898684E-2</v>
      </c>
      <c r="P44" s="62">
        <f t="shared" si="14"/>
        <v>1.8260271200148691E-2</v>
      </c>
    </row>
    <row r="45" spans="1:16" hidden="1">
      <c r="A45" s="49">
        <v>43</v>
      </c>
      <c r="B45" s="62">
        <f t="shared" si="0"/>
        <v>0.28054293595180346</v>
      </c>
      <c r="C45" s="62">
        <f t="shared" si="1"/>
        <v>0.22780589534067663</v>
      </c>
      <c r="D45" s="62">
        <f t="shared" si="2"/>
        <v>0.18516820225639832</v>
      </c>
      <c r="E45" s="62">
        <f t="shared" si="3"/>
        <v>0.15066053690246878</v>
      </c>
      <c r="F45" s="62">
        <f t="shared" si="4"/>
        <v>0.12270440108003686</v>
      </c>
      <c r="G45" s="62">
        <f t="shared" si="5"/>
        <v>0.10003321702450878</v>
      </c>
      <c r="H45" s="62">
        <f t="shared" si="6"/>
        <v>8.1629623538647347E-2</v>
      </c>
      <c r="I45" s="62">
        <f t="shared" si="7"/>
        <v>6.667558974127348E-2</v>
      </c>
      <c r="J45" s="62">
        <f t="shared" si="8"/>
        <v>5.4512683240763103E-2</v>
      </c>
      <c r="K45" s="62">
        <f t="shared" si="9"/>
        <v>4.461039176308406E-2</v>
      </c>
      <c r="L45" s="62">
        <f t="shared" si="10"/>
        <v>3.6540838938022353E-2</v>
      </c>
      <c r="M45" s="62">
        <f t="shared" si="11"/>
        <v>2.9958582316124627E-2</v>
      </c>
      <c r="N45" s="62">
        <f t="shared" si="12"/>
        <v>2.4584455196363559E-2</v>
      </c>
      <c r="O45" s="62">
        <f t="shared" si="13"/>
        <v>2.0192629436437154E-2</v>
      </c>
      <c r="P45" s="62">
        <f t="shared" si="14"/>
        <v>1.6600246545589718E-2</v>
      </c>
    </row>
    <row r="46" spans="1:16" hidden="1">
      <c r="A46" s="49">
        <v>44</v>
      </c>
      <c r="B46" s="62">
        <f t="shared" si="0"/>
        <v>0.27237178247747906</v>
      </c>
      <c r="C46" s="62">
        <f t="shared" si="1"/>
        <v>0.22010231433881802</v>
      </c>
      <c r="D46" s="62">
        <f t="shared" si="2"/>
        <v>0.17804634832345992</v>
      </c>
      <c r="E46" s="62">
        <f t="shared" si="3"/>
        <v>0.14417276258609454</v>
      </c>
      <c r="F46" s="62">
        <f t="shared" si="4"/>
        <v>0.11686133436193986</v>
      </c>
      <c r="G46" s="62">
        <f t="shared" si="5"/>
        <v>9.4818215189107852E-2</v>
      </c>
      <c r="H46" s="62">
        <f t="shared" si="6"/>
        <v>7.7009078810044665E-2</v>
      </c>
      <c r="I46" s="62">
        <f t="shared" si="7"/>
        <v>6.2606187550491535E-2</v>
      </c>
      <c r="J46" s="62">
        <f t="shared" si="8"/>
        <v>5.0946432935292614E-2</v>
      </c>
      <c r="K46" s="62">
        <f t="shared" si="9"/>
        <v>4.1498038849380525E-2</v>
      </c>
      <c r="L46" s="62">
        <f t="shared" si="10"/>
        <v>3.3834110127798474E-2</v>
      </c>
      <c r="M46" s="62">
        <f t="shared" si="11"/>
        <v>2.7611596604723159E-2</v>
      </c>
      <c r="N46" s="62">
        <f t="shared" si="12"/>
        <v>2.2554546051709687E-2</v>
      </c>
      <c r="O46" s="62">
        <f t="shared" si="13"/>
        <v>1.8440757476198315E-2</v>
      </c>
      <c r="P46" s="62">
        <f t="shared" si="14"/>
        <v>1.509113322326338E-2</v>
      </c>
    </row>
    <row r="47" spans="1:16">
      <c r="A47" s="49">
        <v>45</v>
      </c>
      <c r="B47" s="62">
        <f t="shared" si="0"/>
        <v>0.26443862376454275</v>
      </c>
      <c r="C47" s="62">
        <f t="shared" si="1"/>
        <v>0.21265924090707056</v>
      </c>
      <c r="D47" s="62">
        <f t="shared" si="2"/>
        <v>0.17119841184948068</v>
      </c>
      <c r="E47" s="62">
        <f t="shared" si="3"/>
        <v>0.13796436611109528</v>
      </c>
      <c r="F47" s="62">
        <f t="shared" si="4"/>
        <v>0.1112965089161332</v>
      </c>
      <c r="G47" s="62">
        <f t="shared" si="5"/>
        <v>8.9875085487306022E-2</v>
      </c>
      <c r="H47" s="62">
        <f t="shared" si="6"/>
        <v>7.2650074349098731E-2</v>
      </c>
      <c r="I47" s="62">
        <f t="shared" si="7"/>
        <v>5.8785152629569522E-2</v>
      </c>
      <c r="J47" s="62">
        <f t="shared" si="8"/>
        <v>4.7613488724572536E-2</v>
      </c>
      <c r="K47" s="62">
        <f t="shared" si="9"/>
        <v>3.8602826836633047E-2</v>
      </c>
      <c r="L47" s="62">
        <f t="shared" si="10"/>
        <v>3.132787974796155E-2</v>
      </c>
      <c r="M47" s="62">
        <f t="shared" si="11"/>
        <v>2.5448476133385401E-2</v>
      </c>
      <c r="N47" s="62">
        <f t="shared" si="12"/>
        <v>2.0692244084137328E-2</v>
      </c>
      <c r="O47" s="62">
        <f t="shared" si="13"/>
        <v>1.6840874407487046E-2</v>
      </c>
      <c r="P47" s="62">
        <f t="shared" si="14"/>
        <v>1.3719212021148525E-2</v>
      </c>
    </row>
    <row r="48" spans="1:16" ht="0.75" customHeight="1">
      <c r="A48" s="49">
        <v>46</v>
      </c>
      <c r="B48" s="62">
        <f t="shared" si="0"/>
        <v>0.25673652792674051</v>
      </c>
      <c r="C48" s="62">
        <f t="shared" si="1"/>
        <v>0.20546786561069622</v>
      </c>
      <c r="D48" s="62">
        <f t="shared" si="2"/>
        <v>0.16461385754757757</v>
      </c>
      <c r="E48" s="62">
        <f t="shared" si="3"/>
        <v>0.13202331685272276</v>
      </c>
      <c r="F48" s="62">
        <f t="shared" si="4"/>
        <v>0.10599667515822209</v>
      </c>
      <c r="G48" s="62">
        <f t="shared" si="5"/>
        <v>8.5189654490337469E-2</v>
      </c>
      <c r="H48" s="62">
        <f t="shared" si="6"/>
        <v>6.8537805989715775E-2</v>
      </c>
      <c r="I48" s="62">
        <f t="shared" si="7"/>
        <v>5.5197326412741339E-2</v>
      </c>
      <c r="J48" s="62">
        <f t="shared" si="8"/>
        <v>4.4498587593058442E-2</v>
      </c>
      <c r="K48" s="62">
        <f t="shared" si="9"/>
        <v>3.5909606359658647E-2</v>
      </c>
      <c r="L48" s="62">
        <f t="shared" si="10"/>
        <v>2.900729606292736E-2</v>
      </c>
      <c r="M48" s="62">
        <f t="shared" si="11"/>
        <v>2.3454816712797606E-2</v>
      </c>
      <c r="N48" s="62">
        <f t="shared" si="12"/>
        <v>1.8983710168933327E-2</v>
      </c>
      <c r="O48" s="62">
        <f t="shared" si="13"/>
        <v>1.5379793979440226E-2</v>
      </c>
      <c r="P48" s="62">
        <f t="shared" si="14"/>
        <v>1.247201092831684E-2</v>
      </c>
    </row>
    <row r="49" spans="1:16" hidden="1">
      <c r="A49" s="49">
        <v>47</v>
      </c>
      <c r="B49" s="62">
        <f t="shared" si="0"/>
        <v>0.24925876497741797</v>
      </c>
      <c r="C49" s="62">
        <f t="shared" si="1"/>
        <v>0.19851967691854708</v>
      </c>
      <c r="D49" s="62">
        <f t="shared" si="2"/>
        <v>0.15828255533420921</v>
      </c>
      <c r="E49" s="62">
        <f t="shared" si="3"/>
        <v>0.12633810225140935</v>
      </c>
      <c r="F49" s="62">
        <f t="shared" si="4"/>
        <v>0.10094921443640198</v>
      </c>
      <c r="G49" s="62">
        <f t="shared" si="5"/>
        <v>8.0748487668566321E-2</v>
      </c>
      <c r="H49" s="62">
        <f t="shared" si="6"/>
        <v>6.4658307537467707E-2</v>
      </c>
      <c r="I49" s="62">
        <f t="shared" si="7"/>
        <v>5.1828475504921451E-2</v>
      </c>
      <c r="J49" s="62">
        <f t="shared" si="8"/>
        <v>4.1587465040241529E-2</v>
      </c>
      <c r="K49" s="62">
        <f t="shared" si="9"/>
        <v>3.3404284985728977E-2</v>
      </c>
      <c r="L49" s="62">
        <f t="shared" si="10"/>
        <v>2.6858607465673479E-2</v>
      </c>
      <c r="M49" s="62">
        <f t="shared" si="11"/>
        <v>2.1617342592440192E-2</v>
      </c>
      <c r="N49" s="62">
        <f t="shared" si="12"/>
        <v>1.741624786140672E-2</v>
      </c>
      <c r="O49" s="62">
        <f t="shared" si="13"/>
        <v>1.4045473953826691E-2</v>
      </c>
      <c r="P49" s="62">
        <f t="shared" si="14"/>
        <v>1.1338191753015309E-2</v>
      </c>
    </row>
    <row r="50" spans="1:16" hidden="1">
      <c r="A50" s="49">
        <v>48</v>
      </c>
      <c r="B50" s="62">
        <f t="shared" si="0"/>
        <v>0.24199880094894949</v>
      </c>
      <c r="C50" s="62">
        <f t="shared" si="1"/>
        <v>0.191806451129031</v>
      </c>
      <c r="D50" s="62">
        <f t="shared" si="2"/>
        <v>0.15219476474443192</v>
      </c>
      <c r="E50" s="62">
        <f t="shared" si="3"/>
        <v>0.12089770550374102</v>
      </c>
      <c r="F50" s="62">
        <f t="shared" si="4"/>
        <v>9.6142108987049502E-2</v>
      </c>
      <c r="G50" s="62">
        <f t="shared" si="5"/>
        <v>7.6538850870678979E-2</v>
      </c>
      <c r="H50" s="62">
        <f t="shared" si="6"/>
        <v>6.0998403337233685E-2</v>
      </c>
      <c r="I50" s="62">
        <f t="shared" si="7"/>
        <v>4.866523521588869E-2</v>
      </c>
      <c r="J50" s="62">
        <f t="shared" si="8"/>
        <v>3.8866789757235072E-2</v>
      </c>
      <c r="K50" s="62">
        <f t="shared" si="9"/>
        <v>3.1073753475096725E-2</v>
      </c>
      <c r="L50" s="62">
        <f t="shared" si="10"/>
        <v>2.4869080986734699E-2</v>
      </c>
      <c r="M50" s="62">
        <f t="shared" si="11"/>
        <v>1.9923818057548566E-2</v>
      </c>
      <c r="N50" s="62">
        <f t="shared" si="12"/>
        <v>1.5978209047162129E-2</v>
      </c>
      <c r="O50" s="62">
        <f t="shared" si="13"/>
        <v>1.2826916852809763E-2</v>
      </c>
      <c r="P50" s="62">
        <f t="shared" si="14"/>
        <v>1.0307447048195735E-2</v>
      </c>
    </row>
    <row r="51" spans="1:16" hidden="1">
      <c r="A51" s="49">
        <v>49</v>
      </c>
      <c r="B51" s="62">
        <f t="shared" si="0"/>
        <v>0.2349502921834461</v>
      </c>
      <c r="C51" s="62">
        <f t="shared" si="1"/>
        <v>0.18532024263674493</v>
      </c>
      <c r="D51" s="62">
        <f t="shared" si="2"/>
        <v>0.14634111994656915</v>
      </c>
      <c r="E51" s="62">
        <f t="shared" si="3"/>
        <v>0.11569158421410625</v>
      </c>
      <c r="F51" s="62">
        <f t="shared" si="4"/>
        <v>9.1563913320999515E-2</v>
      </c>
      <c r="G51" s="62">
        <f t="shared" si="5"/>
        <v>7.2548673811070122E-2</v>
      </c>
      <c r="H51" s="62">
        <f t="shared" si="6"/>
        <v>5.7545663525692153E-2</v>
      </c>
      <c r="I51" s="62">
        <f t="shared" si="7"/>
        <v>4.5695056540740554E-2</v>
      </c>
      <c r="J51" s="62">
        <f t="shared" si="8"/>
        <v>3.6324102576855206E-2</v>
      </c>
      <c r="K51" s="62">
        <f t="shared" si="9"/>
        <v>2.8905817186136488E-2</v>
      </c>
      <c r="L51" s="62">
        <f t="shared" si="10"/>
        <v>2.3026926839569164E-2</v>
      </c>
      <c r="M51" s="62">
        <f t="shared" si="11"/>
        <v>1.8362965951657664E-2</v>
      </c>
      <c r="N51" s="62">
        <f t="shared" si="12"/>
        <v>1.4658907382717547E-2</v>
      </c>
      <c r="O51" s="62">
        <f t="shared" si="13"/>
        <v>1.1714079317634487E-2</v>
      </c>
      <c r="P51" s="62">
        <f t="shared" si="14"/>
        <v>9.3704064074506665E-3</v>
      </c>
    </row>
    <row r="52" spans="1:16" s="53" customFormat="1">
      <c r="A52" s="52">
        <v>50</v>
      </c>
      <c r="B52" s="63">
        <f t="shared" si="0"/>
        <v>0.22810707978975348</v>
      </c>
      <c r="C52" s="63">
        <f t="shared" si="1"/>
        <v>0.17905337452825598</v>
      </c>
      <c r="D52" s="63">
        <f t="shared" si="2"/>
        <v>0.14071261533323956</v>
      </c>
      <c r="E52" s="63">
        <f t="shared" si="3"/>
        <v>0.11070964996565191</v>
      </c>
      <c r="F52" s="63">
        <f t="shared" si="4"/>
        <v>8.7203726972380491E-2</v>
      </c>
      <c r="G52" s="63">
        <f t="shared" si="5"/>
        <v>6.8766515460729982E-2</v>
      </c>
      <c r="H52" s="63">
        <f t="shared" si="6"/>
        <v>5.4288361816690708E-2</v>
      </c>
      <c r="I52" s="63">
        <f t="shared" si="7"/>
        <v>4.2906156376282215E-2</v>
      </c>
      <c r="J52" s="63">
        <f t="shared" si="8"/>
        <v>3.3947759417621688E-2</v>
      </c>
      <c r="K52" s="63">
        <f t="shared" si="9"/>
        <v>2.6889132266173479E-2</v>
      </c>
      <c r="L52" s="63">
        <f t="shared" si="10"/>
        <v>2.132122855515663E-2</v>
      </c>
      <c r="M52" s="63">
        <f t="shared" si="11"/>
        <v>1.6924392582172963E-2</v>
      </c>
      <c r="N52" s="63">
        <f t="shared" si="12"/>
        <v>1.3448538883227107E-2</v>
      </c>
      <c r="O52" s="63">
        <f t="shared" si="13"/>
        <v>1.0697789331173048E-2</v>
      </c>
      <c r="P52" s="63">
        <f t="shared" si="14"/>
        <v>8.5185512795006059E-3</v>
      </c>
    </row>
    <row r="53" spans="1:16">
      <c r="A53" s="54"/>
    </row>
    <row r="54" spans="1:16">
      <c r="A54" s="54"/>
    </row>
    <row r="55" spans="1:16">
      <c r="A55" s="54"/>
    </row>
    <row r="56" spans="1:16">
      <c r="A56" s="54"/>
    </row>
    <row r="57" spans="1:16">
      <c r="A57" s="54"/>
    </row>
    <row r="58" spans="1:16">
      <c r="A58" s="54"/>
    </row>
    <row r="59" spans="1:16">
      <c r="A59" s="54"/>
    </row>
    <row r="60" spans="1:16">
      <c r="A60" s="54"/>
    </row>
  </sheetData>
  <customSheetViews>
    <customSheetView guid="{1CC00BDA-F26F-4B2F-9920-976F9DA01936}" fitToPage="1" hiddenRows="1" showRuler="0">
      <selection activeCell="G10" sqref="G10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N1" sqref="N1"/>
    </sheetView>
  </sheetViews>
  <sheetFormatPr baseColWidth="10" defaultColWidth="11.42578125" defaultRowHeight="12.75"/>
  <cols>
    <col min="1" max="1" width="8" style="69" customWidth="1"/>
    <col min="2" max="16" width="8.7109375" style="65" customWidth="1"/>
    <col min="17" max="16384" width="11.42578125" style="65"/>
  </cols>
  <sheetData>
    <row r="1" spans="1:16" ht="41.25" customHeight="1">
      <c r="A1" s="64" t="s">
        <v>148</v>
      </c>
      <c r="N1" s="308" t="s">
        <v>353</v>
      </c>
    </row>
    <row r="2" spans="1:16" s="69" customFormat="1" ht="22.5" customHeight="1">
      <c r="A2" s="66" t="s">
        <v>147</v>
      </c>
      <c r="B2" s="67">
        <v>0.03</v>
      </c>
      <c r="C2" s="67">
        <v>3.5000000000000003E-2</v>
      </c>
      <c r="D2" s="67">
        <v>0.04</v>
      </c>
      <c r="E2" s="67">
        <v>4.4999999999999998E-2</v>
      </c>
      <c r="F2" s="67">
        <v>0.05</v>
      </c>
      <c r="G2" s="67">
        <v>5.5E-2</v>
      </c>
      <c r="H2" s="67">
        <v>0.06</v>
      </c>
      <c r="I2" s="68">
        <v>6.5000000000000002E-2</v>
      </c>
      <c r="J2" s="67">
        <v>7.0000000000000007E-2</v>
      </c>
      <c r="K2" s="67">
        <v>7.4999999999999997E-2</v>
      </c>
      <c r="L2" s="67">
        <v>0.08</v>
      </c>
      <c r="M2" s="67">
        <v>8.5000000000000048E-2</v>
      </c>
      <c r="N2" s="67">
        <v>9.0000000000000052E-2</v>
      </c>
      <c r="O2" s="67">
        <v>9.5000000000000057E-2</v>
      </c>
      <c r="P2" s="67">
        <v>0.1</v>
      </c>
    </row>
    <row r="3" spans="1:16" s="71" customFormat="1">
      <c r="A3" s="70">
        <v>1</v>
      </c>
      <c r="B3" s="62">
        <f>1*103%</f>
        <v>1.03</v>
      </c>
      <c r="C3" s="62">
        <f>1*103.5%</f>
        <v>1.0349999999999999</v>
      </c>
      <c r="D3" s="62">
        <f>1*104%</f>
        <v>1.04</v>
      </c>
      <c r="E3" s="62">
        <f>1*104.5%</f>
        <v>1.0449999999999999</v>
      </c>
      <c r="F3" s="62">
        <f>1*105%</f>
        <v>1.05</v>
      </c>
      <c r="G3" s="62">
        <f>1*105.5%</f>
        <v>1.0549999999999999</v>
      </c>
      <c r="H3" s="62">
        <f>1*106%</f>
        <v>1.06</v>
      </c>
      <c r="I3" s="62">
        <f>1*106.5%</f>
        <v>1.0649999999999999</v>
      </c>
      <c r="J3" s="62">
        <f>1*107%</f>
        <v>1.07</v>
      </c>
      <c r="K3" s="62">
        <f>1*107.5%</f>
        <v>1.075</v>
      </c>
      <c r="L3" s="62">
        <f>1*108%</f>
        <v>1.08</v>
      </c>
      <c r="M3" s="62">
        <f>1*108.5%</f>
        <v>1.085</v>
      </c>
      <c r="N3" s="62">
        <f>1*109%</f>
        <v>1.0900000000000001</v>
      </c>
      <c r="O3" s="62">
        <f>1*109.5%</f>
        <v>1.095</v>
      </c>
      <c r="P3" s="62">
        <f>1*110%</f>
        <v>1.1000000000000001</v>
      </c>
    </row>
    <row r="4" spans="1:16" s="71" customFormat="1">
      <c r="A4" s="70">
        <v>2</v>
      </c>
      <c r="B4" s="62">
        <f t="shared" ref="B4:B52" si="0">B3*103%</f>
        <v>1.0609</v>
      </c>
      <c r="C4" s="62">
        <f t="shared" ref="C4:C52" si="1">C3*103.5%</f>
        <v>1.0712249999999999</v>
      </c>
      <c r="D4" s="62">
        <f t="shared" ref="D4:D52" si="2">D3*104%</f>
        <v>1.0816000000000001</v>
      </c>
      <c r="E4" s="62">
        <f t="shared" ref="E4:E52" si="3">E3*104.5%</f>
        <v>1.0920249999999998</v>
      </c>
      <c r="F4" s="62">
        <f t="shared" ref="F4:F52" si="4">F3*105%</f>
        <v>1.1025</v>
      </c>
      <c r="G4" s="62">
        <f t="shared" ref="G4:G52" si="5">G3*105.5%</f>
        <v>1.1130249999999999</v>
      </c>
      <c r="H4" s="62">
        <f t="shared" ref="H4:H52" si="6">H3*106%</f>
        <v>1.1236000000000002</v>
      </c>
      <c r="I4" s="62">
        <f t="shared" ref="I4:I52" si="7">I3*106.5%</f>
        <v>1.1342249999999998</v>
      </c>
      <c r="J4" s="62">
        <f t="shared" ref="J4:J52" si="8">J3*107%</f>
        <v>1.1449</v>
      </c>
      <c r="K4" s="62">
        <f t="shared" ref="K4:K52" si="9">K3*107.5%</f>
        <v>1.1556249999999999</v>
      </c>
      <c r="L4" s="62">
        <f t="shared" ref="L4:L52" si="10">L3*108%</f>
        <v>1.1664000000000001</v>
      </c>
      <c r="M4" s="62">
        <f t="shared" ref="M4:M52" si="11">M3*108.5%</f>
        <v>1.177225</v>
      </c>
      <c r="N4" s="62">
        <f t="shared" ref="N4:N52" si="12">N3*109%</f>
        <v>1.1881000000000002</v>
      </c>
      <c r="O4" s="62">
        <f t="shared" ref="O4:O52" si="13">O3*109.5%</f>
        <v>1.199025</v>
      </c>
      <c r="P4" s="62">
        <f t="shared" ref="P4:P52" si="14">P3*110%</f>
        <v>1.2100000000000002</v>
      </c>
    </row>
    <row r="5" spans="1:16" s="71" customFormat="1">
      <c r="A5" s="70">
        <v>3</v>
      </c>
      <c r="B5" s="62">
        <f t="shared" si="0"/>
        <v>1.092727</v>
      </c>
      <c r="C5" s="62">
        <f t="shared" si="1"/>
        <v>1.1087178749999997</v>
      </c>
      <c r="D5" s="62">
        <f t="shared" si="2"/>
        <v>1.1248640000000001</v>
      </c>
      <c r="E5" s="62">
        <f t="shared" si="3"/>
        <v>1.1411661249999998</v>
      </c>
      <c r="F5" s="62">
        <f t="shared" si="4"/>
        <v>1.1576250000000001</v>
      </c>
      <c r="G5" s="62">
        <f t="shared" si="5"/>
        <v>1.1742413749999998</v>
      </c>
      <c r="H5" s="62">
        <f t="shared" si="6"/>
        <v>1.1910160000000003</v>
      </c>
      <c r="I5" s="62">
        <f t="shared" si="7"/>
        <v>1.2079496249999997</v>
      </c>
      <c r="J5" s="62">
        <f t="shared" si="8"/>
        <v>1.2250430000000001</v>
      </c>
      <c r="K5" s="62">
        <f t="shared" si="9"/>
        <v>1.2422968749999999</v>
      </c>
      <c r="L5" s="62">
        <f t="shared" si="10"/>
        <v>1.2597120000000002</v>
      </c>
      <c r="M5" s="62">
        <f t="shared" si="11"/>
        <v>1.277289125</v>
      </c>
      <c r="N5" s="62">
        <f t="shared" si="12"/>
        <v>1.2950290000000002</v>
      </c>
      <c r="O5" s="62">
        <f t="shared" si="13"/>
        <v>1.3129323749999999</v>
      </c>
      <c r="P5" s="62">
        <f t="shared" si="14"/>
        <v>1.3310000000000004</v>
      </c>
    </row>
    <row r="6" spans="1:16" s="71" customFormat="1">
      <c r="A6" s="70">
        <v>4</v>
      </c>
      <c r="B6" s="62">
        <f t="shared" si="0"/>
        <v>1.1255088100000001</v>
      </c>
      <c r="C6" s="62">
        <f t="shared" si="1"/>
        <v>1.1475230006249997</v>
      </c>
      <c r="D6" s="62">
        <f t="shared" si="2"/>
        <v>1.1698585600000002</v>
      </c>
      <c r="E6" s="62">
        <f t="shared" si="3"/>
        <v>1.1925186006249997</v>
      </c>
      <c r="F6" s="62">
        <f t="shared" si="4"/>
        <v>1.2155062500000002</v>
      </c>
      <c r="G6" s="62">
        <f t="shared" si="5"/>
        <v>1.2388246506249998</v>
      </c>
      <c r="H6" s="62">
        <f t="shared" si="6"/>
        <v>1.2624769600000003</v>
      </c>
      <c r="I6" s="62">
        <f t="shared" si="7"/>
        <v>1.2864663506249996</v>
      </c>
      <c r="J6" s="62">
        <f t="shared" si="8"/>
        <v>1.3107960100000002</v>
      </c>
      <c r="K6" s="62">
        <f t="shared" si="9"/>
        <v>1.3354691406249999</v>
      </c>
      <c r="L6" s="62">
        <f t="shared" si="10"/>
        <v>1.3604889600000003</v>
      </c>
      <c r="M6" s="62">
        <f t="shared" si="11"/>
        <v>1.3858587006250001</v>
      </c>
      <c r="N6" s="62">
        <f t="shared" si="12"/>
        <v>1.4115816100000003</v>
      </c>
      <c r="O6" s="62">
        <f t="shared" si="13"/>
        <v>1.437660950625</v>
      </c>
      <c r="P6" s="62">
        <f t="shared" si="14"/>
        <v>1.4641000000000006</v>
      </c>
    </row>
    <row r="7" spans="1:16" s="71" customFormat="1">
      <c r="A7" s="70">
        <v>5</v>
      </c>
      <c r="B7" s="62">
        <f t="shared" si="0"/>
        <v>1.1592740743000001</v>
      </c>
      <c r="C7" s="62">
        <f t="shared" si="1"/>
        <v>1.1876863056468745</v>
      </c>
      <c r="D7" s="62">
        <f t="shared" si="2"/>
        <v>1.2166529024000003</v>
      </c>
      <c r="E7" s="62">
        <f t="shared" si="3"/>
        <v>1.2461819376531247</v>
      </c>
      <c r="F7" s="62">
        <f t="shared" si="4"/>
        <v>1.2762815625000004</v>
      </c>
      <c r="G7" s="62">
        <f t="shared" si="5"/>
        <v>1.3069600064093747</v>
      </c>
      <c r="H7" s="62">
        <f t="shared" si="6"/>
        <v>1.3382255776000005</v>
      </c>
      <c r="I7" s="62">
        <f t="shared" si="7"/>
        <v>1.3700866634156246</v>
      </c>
      <c r="J7" s="62">
        <f t="shared" si="8"/>
        <v>1.4025517307000004</v>
      </c>
      <c r="K7" s="62">
        <f t="shared" si="9"/>
        <v>1.4356293261718749</v>
      </c>
      <c r="L7" s="62">
        <f t="shared" si="10"/>
        <v>1.4693280768000003</v>
      </c>
      <c r="M7" s="62">
        <f t="shared" si="11"/>
        <v>1.503656690178125</v>
      </c>
      <c r="N7" s="62">
        <f t="shared" si="12"/>
        <v>1.5386239549000005</v>
      </c>
      <c r="O7" s="62">
        <f t="shared" si="13"/>
        <v>1.574238740934375</v>
      </c>
      <c r="P7" s="62">
        <f t="shared" si="14"/>
        <v>1.6105100000000008</v>
      </c>
    </row>
    <row r="8" spans="1:16" s="71" customFormat="1">
      <c r="A8" s="70">
        <v>6</v>
      </c>
      <c r="B8" s="62">
        <f t="shared" si="0"/>
        <v>1.1940522965290001</v>
      </c>
      <c r="C8" s="62">
        <f t="shared" si="1"/>
        <v>1.229255326344515</v>
      </c>
      <c r="D8" s="62">
        <f t="shared" si="2"/>
        <v>1.2653190184960004</v>
      </c>
      <c r="E8" s="62">
        <f t="shared" si="3"/>
        <v>1.3022601248475152</v>
      </c>
      <c r="F8" s="62">
        <f t="shared" si="4"/>
        <v>1.3400956406250004</v>
      </c>
      <c r="G8" s="62">
        <f t="shared" si="5"/>
        <v>1.3788428067618903</v>
      </c>
      <c r="H8" s="62">
        <f t="shared" si="6"/>
        <v>1.4185191122560006</v>
      </c>
      <c r="I8" s="62">
        <f t="shared" si="7"/>
        <v>1.4591422965376402</v>
      </c>
      <c r="J8" s="62">
        <f t="shared" si="8"/>
        <v>1.5007303518490005</v>
      </c>
      <c r="K8" s="62">
        <f t="shared" si="9"/>
        <v>1.5433015256347655</v>
      </c>
      <c r="L8" s="62">
        <f t="shared" si="10"/>
        <v>1.5868743229440005</v>
      </c>
      <c r="M8" s="62">
        <f t="shared" si="11"/>
        <v>1.6314675088432655</v>
      </c>
      <c r="N8" s="62">
        <f t="shared" si="12"/>
        <v>1.6771001108410006</v>
      </c>
      <c r="O8" s="62">
        <f t="shared" si="13"/>
        <v>1.7237914213231407</v>
      </c>
      <c r="P8" s="62">
        <f t="shared" si="14"/>
        <v>1.7715610000000011</v>
      </c>
    </row>
    <row r="9" spans="1:16" s="71" customFormat="1">
      <c r="A9" s="70">
        <v>7</v>
      </c>
      <c r="B9" s="62">
        <f t="shared" si="0"/>
        <v>1.2298738654248702</v>
      </c>
      <c r="C9" s="62">
        <f t="shared" si="1"/>
        <v>1.2722792627665729</v>
      </c>
      <c r="D9" s="62">
        <f t="shared" si="2"/>
        <v>1.3159317792358405</v>
      </c>
      <c r="E9" s="62">
        <f t="shared" si="3"/>
        <v>1.3608618304656532</v>
      </c>
      <c r="F9" s="62">
        <f t="shared" si="4"/>
        <v>1.4071004226562505</v>
      </c>
      <c r="G9" s="62">
        <f t="shared" si="5"/>
        <v>1.4546791611337941</v>
      </c>
      <c r="H9" s="62">
        <f t="shared" si="6"/>
        <v>1.5036302589913606</v>
      </c>
      <c r="I9" s="62">
        <f t="shared" si="7"/>
        <v>1.5539865458125868</v>
      </c>
      <c r="J9" s="62">
        <f t="shared" si="8"/>
        <v>1.6057814764784306</v>
      </c>
      <c r="K9" s="62">
        <f t="shared" si="9"/>
        <v>1.6590491400573728</v>
      </c>
      <c r="L9" s="62">
        <f t="shared" si="10"/>
        <v>1.7138242687795207</v>
      </c>
      <c r="M9" s="62">
        <f t="shared" si="11"/>
        <v>1.7701422470949431</v>
      </c>
      <c r="N9" s="62">
        <f t="shared" si="12"/>
        <v>1.8280391208166908</v>
      </c>
      <c r="O9" s="62">
        <f t="shared" si="13"/>
        <v>1.8875516063488389</v>
      </c>
      <c r="P9" s="62">
        <f t="shared" si="14"/>
        <v>1.9487171000000014</v>
      </c>
    </row>
    <row r="10" spans="1:16" s="71" customFormat="1">
      <c r="A10" s="70">
        <v>8</v>
      </c>
      <c r="B10" s="62">
        <f t="shared" si="0"/>
        <v>1.2667700813876164</v>
      </c>
      <c r="C10" s="62">
        <f t="shared" si="1"/>
        <v>1.3168090369634029</v>
      </c>
      <c r="D10" s="62">
        <f t="shared" si="2"/>
        <v>1.3685690504052741</v>
      </c>
      <c r="E10" s="62">
        <f t="shared" si="3"/>
        <v>1.4221006128366076</v>
      </c>
      <c r="F10" s="62">
        <f t="shared" si="4"/>
        <v>1.477455443789063</v>
      </c>
      <c r="G10" s="62">
        <f t="shared" si="5"/>
        <v>1.5346865149961528</v>
      </c>
      <c r="H10" s="62">
        <f t="shared" si="6"/>
        <v>1.5938480745308423</v>
      </c>
      <c r="I10" s="62">
        <f t="shared" si="7"/>
        <v>1.6549956712904048</v>
      </c>
      <c r="J10" s="62">
        <f t="shared" si="8"/>
        <v>1.7181861798319209</v>
      </c>
      <c r="K10" s="62">
        <f t="shared" si="9"/>
        <v>1.7834778255616757</v>
      </c>
      <c r="L10" s="62">
        <f t="shared" si="10"/>
        <v>1.8509302102818825</v>
      </c>
      <c r="M10" s="62">
        <f t="shared" si="11"/>
        <v>1.9206043380980131</v>
      </c>
      <c r="N10" s="62">
        <f t="shared" si="12"/>
        <v>1.9925626416901931</v>
      </c>
      <c r="O10" s="62">
        <f t="shared" si="13"/>
        <v>2.0668690089519783</v>
      </c>
      <c r="P10" s="62">
        <f t="shared" si="14"/>
        <v>2.1435888100000016</v>
      </c>
    </row>
    <row r="11" spans="1:16" s="71" customFormat="1">
      <c r="A11" s="70">
        <v>9</v>
      </c>
      <c r="B11" s="62">
        <f t="shared" si="0"/>
        <v>1.3047731838292449</v>
      </c>
      <c r="C11" s="62">
        <f t="shared" si="1"/>
        <v>1.3628973532571218</v>
      </c>
      <c r="D11" s="62">
        <f t="shared" si="2"/>
        <v>1.4233118124214852</v>
      </c>
      <c r="E11" s="62">
        <f t="shared" si="3"/>
        <v>1.4860951404142548</v>
      </c>
      <c r="F11" s="62">
        <f t="shared" si="4"/>
        <v>1.5513282159785162</v>
      </c>
      <c r="G11" s="62">
        <f t="shared" si="5"/>
        <v>1.6190942733209412</v>
      </c>
      <c r="H11" s="62">
        <f t="shared" si="6"/>
        <v>1.6894789590026928</v>
      </c>
      <c r="I11" s="62">
        <f t="shared" si="7"/>
        <v>1.7625703899242811</v>
      </c>
      <c r="J11" s="62">
        <f t="shared" si="8"/>
        <v>1.8384592124201555</v>
      </c>
      <c r="K11" s="62">
        <f t="shared" si="9"/>
        <v>1.9172386624788014</v>
      </c>
      <c r="L11" s="62">
        <f t="shared" si="10"/>
        <v>1.9990046271044333</v>
      </c>
      <c r="M11" s="62">
        <f t="shared" si="11"/>
        <v>2.0838557068363444</v>
      </c>
      <c r="N11" s="62">
        <f t="shared" si="12"/>
        <v>2.1718932794423105</v>
      </c>
      <c r="O11" s="62">
        <f t="shared" si="13"/>
        <v>2.2632215648024161</v>
      </c>
      <c r="P11" s="62">
        <f t="shared" si="14"/>
        <v>2.3579476910000019</v>
      </c>
    </row>
    <row r="12" spans="1:16" s="73" customFormat="1">
      <c r="A12" s="72">
        <v>10</v>
      </c>
      <c r="B12" s="63">
        <f t="shared" si="0"/>
        <v>1.3439163793441222</v>
      </c>
      <c r="C12" s="63">
        <f t="shared" si="1"/>
        <v>1.410598760621121</v>
      </c>
      <c r="D12" s="63">
        <f t="shared" si="2"/>
        <v>1.4802442849183446</v>
      </c>
      <c r="E12" s="63">
        <f t="shared" si="3"/>
        <v>1.5529694217328962</v>
      </c>
      <c r="F12" s="63">
        <f t="shared" si="4"/>
        <v>1.628894626777442</v>
      </c>
      <c r="G12" s="63">
        <f t="shared" si="5"/>
        <v>1.708144458353593</v>
      </c>
      <c r="H12" s="63">
        <f t="shared" si="6"/>
        <v>1.7908476965428546</v>
      </c>
      <c r="I12" s="63">
        <f t="shared" si="7"/>
        <v>1.8771374652693593</v>
      </c>
      <c r="J12" s="63">
        <f t="shared" si="8"/>
        <v>1.9671513572895665</v>
      </c>
      <c r="K12" s="63">
        <f t="shared" si="9"/>
        <v>2.0610315621647115</v>
      </c>
      <c r="L12" s="63">
        <f t="shared" si="10"/>
        <v>2.1589249972727882</v>
      </c>
      <c r="M12" s="63">
        <f t="shared" si="11"/>
        <v>2.2609834419174337</v>
      </c>
      <c r="N12" s="63">
        <f t="shared" si="12"/>
        <v>2.3673636745921187</v>
      </c>
      <c r="O12" s="63">
        <f t="shared" si="13"/>
        <v>2.4782276134586456</v>
      </c>
      <c r="P12" s="63">
        <f t="shared" si="14"/>
        <v>2.5937424601000023</v>
      </c>
    </row>
    <row r="13" spans="1:16" s="71" customFormat="1" ht="20.25" customHeight="1">
      <c r="A13" s="70">
        <v>11</v>
      </c>
      <c r="B13" s="62">
        <f t="shared" si="0"/>
        <v>1.3842338707244459</v>
      </c>
      <c r="C13" s="62">
        <f t="shared" si="1"/>
        <v>1.4599697172428601</v>
      </c>
      <c r="D13" s="62">
        <f t="shared" si="2"/>
        <v>1.5394540563150785</v>
      </c>
      <c r="E13" s="62">
        <f t="shared" si="3"/>
        <v>1.6228530457108765</v>
      </c>
      <c r="F13" s="62">
        <f t="shared" si="4"/>
        <v>1.7103393581163142</v>
      </c>
      <c r="G13" s="62">
        <f t="shared" si="5"/>
        <v>1.8020924035630406</v>
      </c>
      <c r="H13" s="62">
        <f t="shared" si="6"/>
        <v>1.8982985583354259</v>
      </c>
      <c r="I13" s="62">
        <f t="shared" si="7"/>
        <v>1.9991514005118676</v>
      </c>
      <c r="J13" s="62">
        <f t="shared" si="8"/>
        <v>2.1048519522998363</v>
      </c>
      <c r="K13" s="62">
        <f t="shared" si="9"/>
        <v>2.2156089293270647</v>
      </c>
      <c r="L13" s="62">
        <f t="shared" si="10"/>
        <v>2.3316389970546112</v>
      </c>
      <c r="M13" s="62">
        <f t="shared" si="11"/>
        <v>2.4531670344804155</v>
      </c>
      <c r="N13" s="62">
        <f t="shared" si="12"/>
        <v>2.5804264053054098</v>
      </c>
      <c r="O13" s="62">
        <f t="shared" si="13"/>
        <v>2.7136592367372168</v>
      </c>
      <c r="P13" s="62">
        <f t="shared" si="14"/>
        <v>2.8531167061100029</v>
      </c>
    </row>
    <row r="14" spans="1:16" s="71" customFormat="1">
      <c r="A14" s="70">
        <v>12</v>
      </c>
      <c r="B14" s="62">
        <f t="shared" si="0"/>
        <v>1.4257608868461793</v>
      </c>
      <c r="C14" s="62">
        <f t="shared" si="1"/>
        <v>1.5110686573463601</v>
      </c>
      <c r="D14" s="62">
        <f t="shared" si="2"/>
        <v>1.6010322185676817</v>
      </c>
      <c r="E14" s="62">
        <f t="shared" si="3"/>
        <v>1.6958814327678657</v>
      </c>
      <c r="F14" s="62">
        <f>F13*105%</f>
        <v>1.7958563260221301</v>
      </c>
      <c r="G14" s="62">
        <f t="shared" si="5"/>
        <v>1.9012074857590078</v>
      </c>
      <c r="H14" s="62">
        <f t="shared" si="6"/>
        <v>2.0121964718355514</v>
      </c>
      <c r="I14" s="62">
        <f t="shared" si="7"/>
        <v>2.1290962415451387</v>
      </c>
      <c r="J14" s="62">
        <f t="shared" si="8"/>
        <v>2.2521915889608248</v>
      </c>
      <c r="K14" s="62">
        <f t="shared" si="9"/>
        <v>2.3817795990265944</v>
      </c>
      <c r="L14" s="62">
        <f t="shared" si="10"/>
        <v>2.5181701168189803</v>
      </c>
      <c r="M14" s="62">
        <f t="shared" si="11"/>
        <v>2.6616862324112507</v>
      </c>
      <c r="N14" s="62">
        <f t="shared" si="12"/>
        <v>2.8126647817828969</v>
      </c>
      <c r="O14" s="62">
        <f t="shared" si="13"/>
        <v>2.9714568642272523</v>
      </c>
      <c r="P14" s="62">
        <f t="shared" si="14"/>
        <v>3.1384283767210035</v>
      </c>
    </row>
    <row r="15" spans="1:16" s="71" customFormat="1">
      <c r="A15" s="70">
        <v>13</v>
      </c>
      <c r="B15" s="62">
        <f t="shared" si="0"/>
        <v>1.4685337134515648</v>
      </c>
      <c r="C15" s="62">
        <f t="shared" si="1"/>
        <v>1.5639560603534826</v>
      </c>
      <c r="D15" s="62">
        <f t="shared" si="2"/>
        <v>1.6650735073103891</v>
      </c>
      <c r="E15" s="62">
        <f t="shared" si="3"/>
        <v>1.7721960972424196</v>
      </c>
      <c r="F15" s="62">
        <f t="shared" si="4"/>
        <v>1.8856491423232367</v>
      </c>
      <c r="G15" s="62">
        <f t="shared" si="5"/>
        <v>2.0057738974757533</v>
      </c>
      <c r="H15" s="62">
        <f t="shared" si="6"/>
        <v>2.1329282601456847</v>
      </c>
      <c r="I15" s="62">
        <f t="shared" si="7"/>
        <v>2.2674874972455727</v>
      </c>
      <c r="J15" s="62">
        <f t="shared" si="8"/>
        <v>2.4098450001880827</v>
      </c>
      <c r="K15" s="62">
        <f t="shared" si="9"/>
        <v>2.5604130689535891</v>
      </c>
      <c r="L15" s="62">
        <f t="shared" si="10"/>
        <v>2.7196237261644991</v>
      </c>
      <c r="M15" s="62">
        <f t="shared" si="11"/>
        <v>2.8879295621662071</v>
      </c>
      <c r="N15" s="62">
        <f t="shared" si="12"/>
        <v>3.0658046121433578</v>
      </c>
      <c r="O15" s="62">
        <f t="shared" si="13"/>
        <v>3.2537452663288411</v>
      </c>
      <c r="P15" s="62">
        <f t="shared" si="14"/>
        <v>3.4522712143931042</v>
      </c>
    </row>
    <row r="16" spans="1:16" s="71" customFormat="1">
      <c r="A16" s="70">
        <v>14</v>
      </c>
      <c r="B16" s="62">
        <f t="shared" si="0"/>
        <v>1.5125897248551119</v>
      </c>
      <c r="C16" s="62">
        <f t="shared" si="1"/>
        <v>1.6186945224658542</v>
      </c>
      <c r="D16" s="62">
        <f t="shared" si="2"/>
        <v>1.7316764476028046</v>
      </c>
      <c r="E16" s="62">
        <f t="shared" si="3"/>
        <v>1.8519449216183284</v>
      </c>
      <c r="F16" s="62">
        <f t="shared" si="4"/>
        <v>1.9799315994393987</v>
      </c>
      <c r="G16" s="62">
        <f t="shared" si="5"/>
        <v>2.1160914618369198</v>
      </c>
      <c r="H16" s="62">
        <f t="shared" si="6"/>
        <v>2.2609039557544257</v>
      </c>
      <c r="I16" s="62">
        <f t="shared" si="7"/>
        <v>2.4148741845665347</v>
      </c>
      <c r="J16" s="62">
        <f t="shared" si="8"/>
        <v>2.5785341502012487</v>
      </c>
      <c r="K16" s="62">
        <f t="shared" si="9"/>
        <v>2.7524440491251081</v>
      </c>
      <c r="L16" s="62">
        <f t="shared" si="10"/>
        <v>2.9371936242576591</v>
      </c>
      <c r="M16" s="62">
        <f t="shared" si="11"/>
        <v>3.1334035749503344</v>
      </c>
      <c r="N16" s="62">
        <f t="shared" si="12"/>
        <v>3.34172702723626</v>
      </c>
      <c r="O16" s="62">
        <f t="shared" si="13"/>
        <v>3.5628510666300808</v>
      </c>
      <c r="P16" s="62">
        <f t="shared" si="14"/>
        <v>3.7974983358324148</v>
      </c>
    </row>
    <row r="17" spans="1:16" s="71" customFormat="1">
      <c r="A17" s="70">
        <v>15</v>
      </c>
      <c r="B17" s="62">
        <f t="shared" si="0"/>
        <v>1.5579674166007653</v>
      </c>
      <c r="C17" s="62">
        <f t="shared" si="1"/>
        <v>1.6753488307521589</v>
      </c>
      <c r="D17" s="62">
        <f t="shared" si="2"/>
        <v>1.8009435055069167</v>
      </c>
      <c r="E17" s="62">
        <f t="shared" si="3"/>
        <v>1.935282443091153</v>
      </c>
      <c r="F17" s="62">
        <f t="shared" si="4"/>
        <v>2.0789281794113688</v>
      </c>
      <c r="G17" s="62">
        <f t="shared" si="5"/>
        <v>2.2324764922379501</v>
      </c>
      <c r="H17" s="62">
        <f t="shared" si="6"/>
        <v>2.3965581930996915</v>
      </c>
      <c r="I17" s="62">
        <f t="shared" si="7"/>
        <v>2.5718410065633592</v>
      </c>
      <c r="J17" s="62">
        <f t="shared" si="8"/>
        <v>2.7590315407153363</v>
      </c>
      <c r="K17" s="62">
        <f t="shared" si="9"/>
        <v>2.9588773528094912</v>
      </c>
      <c r="L17" s="62">
        <f t="shared" si="10"/>
        <v>3.172169114198272</v>
      </c>
      <c r="M17" s="62">
        <f t="shared" si="11"/>
        <v>3.3997428788211126</v>
      </c>
      <c r="N17" s="62">
        <f t="shared" si="12"/>
        <v>3.6424824596875238</v>
      </c>
      <c r="O17" s="62">
        <f t="shared" si="13"/>
        <v>3.9013219179599385</v>
      </c>
      <c r="P17" s="62">
        <f t="shared" si="14"/>
        <v>4.1772481694156562</v>
      </c>
    </row>
    <row r="18" spans="1:16" s="71" customFormat="1">
      <c r="A18" s="70">
        <v>16</v>
      </c>
      <c r="B18" s="62">
        <f t="shared" si="0"/>
        <v>1.6047064390987884</v>
      </c>
      <c r="C18" s="62">
        <f t="shared" si="1"/>
        <v>1.7339860398284843</v>
      </c>
      <c r="D18" s="62">
        <f t="shared" si="2"/>
        <v>1.8729812457271935</v>
      </c>
      <c r="E18" s="62">
        <f t="shared" si="3"/>
        <v>2.0223701530302547</v>
      </c>
      <c r="F18" s="62">
        <f t="shared" si="4"/>
        <v>2.1828745883819374</v>
      </c>
      <c r="G18" s="62">
        <f t="shared" si="5"/>
        <v>2.3552626993110373</v>
      </c>
      <c r="H18" s="62">
        <f t="shared" si="6"/>
        <v>2.5403516846856733</v>
      </c>
      <c r="I18" s="62">
        <f t="shared" si="7"/>
        <v>2.7390106719899774</v>
      </c>
      <c r="J18" s="62">
        <f t="shared" si="8"/>
        <v>2.9521637485654102</v>
      </c>
      <c r="K18" s="62">
        <f t="shared" si="9"/>
        <v>3.1807931542702028</v>
      </c>
      <c r="L18" s="62">
        <f t="shared" si="10"/>
        <v>3.425942643334134</v>
      </c>
      <c r="M18" s="62">
        <f t="shared" si="11"/>
        <v>3.6887210235209071</v>
      </c>
      <c r="N18" s="62">
        <f t="shared" si="12"/>
        <v>3.9703058810594012</v>
      </c>
      <c r="O18" s="62">
        <f t="shared" si="13"/>
        <v>4.2719475001661324</v>
      </c>
      <c r="P18" s="62">
        <f t="shared" si="14"/>
        <v>4.594972986357222</v>
      </c>
    </row>
    <row r="19" spans="1:16" s="71" customFormat="1">
      <c r="A19" s="70">
        <v>17</v>
      </c>
      <c r="B19" s="62">
        <f t="shared" si="0"/>
        <v>1.652847632271752</v>
      </c>
      <c r="C19" s="62">
        <f t="shared" si="1"/>
        <v>1.7946755512224812</v>
      </c>
      <c r="D19" s="62">
        <f t="shared" si="2"/>
        <v>1.9479004955562813</v>
      </c>
      <c r="E19" s="62">
        <f t="shared" si="3"/>
        <v>2.1133768099166161</v>
      </c>
      <c r="F19" s="62">
        <f t="shared" si="4"/>
        <v>2.2920183178010345</v>
      </c>
      <c r="G19" s="62">
        <f t="shared" si="5"/>
        <v>2.4848021477731441</v>
      </c>
      <c r="H19" s="62">
        <f t="shared" si="6"/>
        <v>2.692772785766814</v>
      </c>
      <c r="I19" s="62">
        <f t="shared" si="7"/>
        <v>2.917046365669326</v>
      </c>
      <c r="J19" s="62">
        <f t="shared" si="8"/>
        <v>3.1588152109649892</v>
      </c>
      <c r="K19" s="62">
        <f t="shared" si="9"/>
        <v>3.4193526408404677</v>
      </c>
      <c r="L19" s="62">
        <f t="shared" si="10"/>
        <v>3.7000180548008648</v>
      </c>
      <c r="M19" s="62">
        <f t="shared" si="11"/>
        <v>4.0022623105201838</v>
      </c>
      <c r="N19" s="62">
        <f t="shared" si="12"/>
        <v>4.327633410354748</v>
      </c>
      <c r="O19" s="62">
        <f t="shared" si="13"/>
        <v>4.6777825126819153</v>
      </c>
      <c r="P19" s="62">
        <f t="shared" si="14"/>
        <v>5.0544702849929442</v>
      </c>
    </row>
    <row r="20" spans="1:16" s="71" customFormat="1">
      <c r="A20" s="70">
        <v>18</v>
      </c>
      <c r="B20" s="62">
        <f t="shared" si="0"/>
        <v>1.7024330612399046</v>
      </c>
      <c r="C20" s="62">
        <f t="shared" si="1"/>
        <v>1.8574891955152679</v>
      </c>
      <c r="D20" s="62">
        <f t="shared" si="2"/>
        <v>2.0258165153785326</v>
      </c>
      <c r="E20" s="62">
        <f t="shared" si="3"/>
        <v>2.2084787663628638</v>
      </c>
      <c r="F20" s="62">
        <f t="shared" si="4"/>
        <v>2.4066192336910861</v>
      </c>
      <c r="G20" s="62">
        <f t="shared" si="5"/>
        <v>2.6214662659006671</v>
      </c>
      <c r="H20" s="62">
        <f t="shared" si="6"/>
        <v>2.8543391529128228</v>
      </c>
      <c r="I20" s="62">
        <f t="shared" si="7"/>
        <v>3.1066543794378321</v>
      </c>
      <c r="J20" s="62">
        <f t="shared" si="8"/>
        <v>3.3799322757325387</v>
      </c>
      <c r="K20" s="62">
        <f t="shared" si="9"/>
        <v>3.6758040889035026</v>
      </c>
      <c r="L20" s="62">
        <f t="shared" si="10"/>
        <v>3.9960194991849343</v>
      </c>
      <c r="M20" s="62">
        <f t="shared" si="11"/>
        <v>4.3424546069143997</v>
      </c>
      <c r="N20" s="62">
        <f t="shared" si="12"/>
        <v>4.7171204172866759</v>
      </c>
      <c r="O20" s="62">
        <f t="shared" si="13"/>
        <v>5.122171851386697</v>
      </c>
      <c r="P20" s="62">
        <f t="shared" si="14"/>
        <v>5.5599173134922388</v>
      </c>
    </row>
    <row r="21" spans="1:16" s="71" customFormat="1">
      <c r="A21" s="70">
        <v>19</v>
      </c>
      <c r="B21" s="62">
        <f t="shared" si="0"/>
        <v>1.7535060530771018</v>
      </c>
      <c r="C21" s="62">
        <f t="shared" si="1"/>
        <v>1.9225013173583021</v>
      </c>
      <c r="D21" s="62">
        <f t="shared" si="2"/>
        <v>2.1068491759936738</v>
      </c>
      <c r="E21" s="62">
        <f t="shared" si="3"/>
        <v>2.3078603108491924</v>
      </c>
      <c r="F21" s="62">
        <f t="shared" si="4"/>
        <v>2.5269501953756404</v>
      </c>
      <c r="G21" s="62">
        <f t="shared" si="5"/>
        <v>2.7656469105252035</v>
      </c>
      <c r="H21" s="62">
        <f t="shared" si="6"/>
        <v>3.0255995020875925</v>
      </c>
      <c r="I21" s="62">
        <f t="shared" si="7"/>
        <v>3.3085869141012911</v>
      </c>
      <c r="J21" s="62">
        <f t="shared" si="8"/>
        <v>3.6165275350338169</v>
      </c>
      <c r="K21" s="62">
        <f t="shared" si="9"/>
        <v>3.9514893955712651</v>
      </c>
      <c r="L21" s="62">
        <f t="shared" si="10"/>
        <v>4.3157010591197293</v>
      </c>
      <c r="M21" s="62">
        <f t="shared" si="11"/>
        <v>4.7115632485021237</v>
      </c>
      <c r="N21" s="62">
        <f t="shared" si="12"/>
        <v>5.1416612548424769</v>
      </c>
      <c r="O21" s="62">
        <f t="shared" si="13"/>
        <v>5.6087781772684329</v>
      </c>
      <c r="P21" s="62">
        <f t="shared" si="14"/>
        <v>6.1159090448414632</v>
      </c>
    </row>
    <row r="22" spans="1:16" s="73" customFormat="1" ht="11.25" customHeight="1">
      <c r="A22" s="72">
        <v>20</v>
      </c>
      <c r="B22" s="63">
        <f t="shared" si="0"/>
        <v>1.806111234669415</v>
      </c>
      <c r="C22" s="63">
        <f t="shared" si="1"/>
        <v>1.9897888634658425</v>
      </c>
      <c r="D22" s="63">
        <f t="shared" si="2"/>
        <v>2.1911231430334208</v>
      </c>
      <c r="E22" s="63">
        <f t="shared" si="3"/>
        <v>2.4117140248374058</v>
      </c>
      <c r="F22" s="63">
        <f t="shared" si="4"/>
        <v>2.6532977051444226</v>
      </c>
      <c r="G22" s="63">
        <f t="shared" si="5"/>
        <v>2.9177574906040897</v>
      </c>
      <c r="H22" s="63">
        <f t="shared" si="6"/>
        <v>3.2071354722128484</v>
      </c>
      <c r="I22" s="63">
        <f t="shared" si="7"/>
        <v>3.5236450635178751</v>
      </c>
      <c r="J22" s="63">
        <f t="shared" si="8"/>
        <v>3.8696844624861844</v>
      </c>
      <c r="K22" s="63">
        <f t="shared" si="9"/>
        <v>4.2478511002391102</v>
      </c>
      <c r="L22" s="63">
        <f t="shared" si="10"/>
        <v>4.6609571438493083</v>
      </c>
      <c r="M22" s="63">
        <f t="shared" si="11"/>
        <v>5.1120461246248041</v>
      </c>
      <c r="N22" s="63">
        <f t="shared" si="12"/>
        <v>5.6044107677783002</v>
      </c>
      <c r="O22" s="63">
        <f t="shared" si="13"/>
        <v>6.1416121041089342</v>
      </c>
      <c r="P22" s="63">
        <f t="shared" si="14"/>
        <v>6.72749994932561</v>
      </c>
    </row>
    <row r="23" spans="1:16" s="71" customFormat="1" ht="24.75" customHeight="1">
      <c r="A23" s="70">
        <v>21</v>
      </c>
      <c r="B23" s="62">
        <f t="shared" si="0"/>
        <v>1.8602945717094976</v>
      </c>
      <c r="C23" s="62">
        <f t="shared" si="1"/>
        <v>2.0594314736871469</v>
      </c>
      <c r="D23" s="62">
        <f t="shared" si="2"/>
        <v>2.2787680687547578</v>
      </c>
      <c r="E23" s="62">
        <f t="shared" si="3"/>
        <v>2.5202411559550888</v>
      </c>
      <c r="F23" s="62">
        <f t="shared" si="4"/>
        <v>2.7859625904016441</v>
      </c>
      <c r="G23" s="62">
        <f t="shared" si="5"/>
        <v>3.0782341525873145</v>
      </c>
      <c r="H23" s="62">
        <f t="shared" si="6"/>
        <v>3.3995636005456196</v>
      </c>
      <c r="I23" s="62">
        <f t="shared" si="7"/>
        <v>3.7526819926465369</v>
      </c>
      <c r="J23" s="62">
        <f t="shared" si="8"/>
        <v>4.1405623748602176</v>
      </c>
      <c r="K23" s="62">
        <f t="shared" si="9"/>
        <v>4.5664399327570431</v>
      </c>
      <c r="L23" s="62">
        <f t="shared" si="10"/>
        <v>5.033833715357253</v>
      </c>
      <c r="M23" s="62">
        <f t="shared" si="11"/>
        <v>5.5465700452179121</v>
      </c>
      <c r="N23" s="62">
        <f t="shared" si="12"/>
        <v>6.1088077368783473</v>
      </c>
      <c r="O23" s="62">
        <f t="shared" si="13"/>
        <v>6.7250652539992828</v>
      </c>
      <c r="P23" s="62">
        <f t="shared" si="14"/>
        <v>7.4002499442581717</v>
      </c>
    </row>
    <row r="24" spans="1:16" s="71" customFormat="1">
      <c r="A24" s="70">
        <v>22</v>
      </c>
      <c r="B24" s="62">
        <f t="shared" si="0"/>
        <v>1.9161034088607827</v>
      </c>
      <c r="C24" s="62">
        <f t="shared" si="1"/>
        <v>2.1315115752661966</v>
      </c>
      <c r="D24" s="62">
        <f t="shared" si="2"/>
        <v>2.369918791504948</v>
      </c>
      <c r="E24" s="62">
        <f t="shared" si="3"/>
        <v>2.6336520079730676</v>
      </c>
      <c r="F24" s="62">
        <f t="shared" si="4"/>
        <v>2.9252607199217264</v>
      </c>
      <c r="G24" s="62">
        <f t="shared" si="5"/>
        <v>3.2475370309796165</v>
      </c>
      <c r="H24" s="62">
        <f t="shared" si="6"/>
        <v>3.6035374165783569</v>
      </c>
      <c r="I24" s="62">
        <f t="shared" si="7"/>
        <v>3.9966063221685615</v>
      </c>
      <c r="J24" s="62">
        <f t="shared" si="8"/>
        <v>4.4304017411004333</v>
      </c>
      <c r="K24" s="62">
        <f t="shared" si="9"/>
        <v>4.9089229277138209</v>
      </c>
      <c r="L24" s="62">
        <f t="shared" si="10"/>
        <v>5.4365404125858339</v>
      </c>
      <c r="M24" s="62">
        <f t="shared" si="11"/>
        <v>6.0180284990614341</v>
      </c>
      <c r="N24" s="62">
        <f t="shared" si="12"/>
        <v>6.6586004331973987</v>
      </c>
      <c r="O24" s="62">
        <f t="shared" si="13"/>
        <v>7.3639464531292145</v>
      </c>
      <c r="P24" s="62">
        <f t="shared" si="14"/>
        <v>8.140274938683989</v>
      </c>
    </row>
    <row r="25" spans="1:16" s="71" customFormat="1">
      <c r="A25" s="70">
        <v>23</v>
      </c>
      <c r="B25" s="62">
        <f t="shared" si="0"/>
        <v>1.9735865111266062</v>
      </c>
      <c r="C25" s="62">
        <f t="shared" si="1"/>
        <v>2.2061144804005135</v>
      </c>
      <c r="D25" s="62">
        <f t="shared" si="2"/>
        <v>2.4647155431651462</v>
      </c>
      <c r="E25" s="62">
        <f t="shared" si="3"/>
        <v>2.7521663483318557</v>
      </c>
      <c r="F25" s="62">
        <f t="shared" si="4"/>
        <v>3.0715237559178128</v>
      </c>
      <c r="G25" s="62">
        <f t="shared" si="5"/>
        <v>3.4261515676834953</v>
      </c>
      <c r="H25" s="62">
        <f t="shared" si="6"/>
        <v>3.8197496615730584</v>
      </c>
      <c r="I25" s="62">
        <f t="shared" si="7"/>
        <v>4.2563857331095178</v>
      </c>
      <c r="J25" s="62">
        <f t="shared" si="8"/>
        <v>4.7405298629774641</v>
      </c>
      <c r="K25" s="62">
        <f t="shared" si="9"/>
        <v>5.2770921472923575</v>
      </c>
      <c r="L25" s="62">
        <f t="shared" si="10"/>
        <v>5.8714636455927014</v>
      </c>
      <c r="M25" s="62">
        <f t="shared" si="11"/>
        <v>6.5295609214816555</v>
      </c>
      <c r="N25" s="62">
        <f t="shared" si="12"/>
        <v>7.2578744721851649</v>
      </c>
      <c r="O25" s="62">
        <f t="shared" si="13"/>
        <v>8.0635213661764897</v>
      </c>
      <c r="P25" s="62">
        <f t="shared" si="14"/>
        <v>8.9543024325523888</v>
      </c>
    </row>
    <row r="26" spans="1:16" s="71" customFormat="1">
      <c r="A26" s="70">
        <v>24</v>
      </c>
      <c r="B26" s="62">
        <f t="shared" si="0"/>
        <v>2.0327941064604045</v>
      </c>
      <c r="C26" s="62">
        <f t="shared" si="1"/>
        <v>2.2833284872145314</v>
      </c>
      <c r="D26" s="62">
        <f t="shared" si="2"/>
        <v>2.5633041648917523</v>
      </c>
      <c r="E26" s="62">
        <f t="shared" si="3"/>
        <v>2.8760138340067889</v>
      </c>
      <c r="F26" s="62">
        <f t="shared" si="4"/>
        <v>3.2250999437137038</v>
      </c>
      <c r="G26" s="62">
        <f t="shared" si="5"/>
        <v>3.6145899039060874</v>
      </c>
      <c r="H26" s="62">
        <f t="shared" si="6"/>
        <v>4.0489346412674418</v>
      </c>
      <c r="I26" s="62">
        <f t="shared" si="7"/>
        <v>4.5330508057616363</v>
      </c>
      <c r="J26" s="62">
        <f t="shared" si="8"/>
        <v>5.0723669533858873</v>
      </c>
      <c r="K26" s="62">
        <f t="shared" si="9"/>
        <v>5.6728740583392838</v>
      </c>
      <c r="L26" s="62">
        <f t="shared" si="10"/>
        <v>6.3411807372401183</v>
      </c>
      <c r="M26" s="62">
        <f t="shared" si="11"/>
        <v>7.0845735998075963</v>
      </c>
      <c r="N26" s="62">
        <f t="shared" si="12"/>
        <v>7.9110831746818304</v>
      </c>
      <c r="O26" s="62">
        <f t="shared" si="13"/>
        <v>8.8295558959632565</v>
      </c>
      <c r="P26" s="62">
        <f t="shared" si="14"/>
        <v>9.849732675807628</v>
      </c>
    </row>
    <row r="27" spans="1:16" s="73" customFormat="1" ht="12" customHeight="1">
      <c r="A27" s="72">
        <v>25</v>
      </c>
      <c r="B27" s="63">
        <f t="shared" si="0"/>
        <v>2.0937779296542165</v>
      </c>
      <c r="C27" s="63">
        <f t="shared" si="1"/>
        <v>2.3632449842670398</v>
      </c>
      <c r="D27" s="63">
        <f t="shared" si="2"/>
        <v>2.6658363314874225</v>
      </c>
      <c r="E27" s="63">
        <f t="shared" si="3"/>
        <v>3.0054344565370941</v>
      </c>
      <c r="F27" s="63">
        <f t="shared" si="4"/>
        <v>3.3863549408993889</v>
      </c>
      <c r="G27" s="63">
        <f t="shared" si="5"/>
        <v>3.8133923486209218</v>
      </c>
      <c r="H27" s="63">
        <f t="shared" si="6"/>
        <v>4.2918707197434882</v>
      </c>
      <c r="I27" s="63">
        <f t="shared" si="7"/>
        <v>4.8276991081361427</v>
      </c>
      <c r="J27" s="63">
        <f t="shared" si="8"/>
        <v>5.4274326401229001</v>
      </c>
      <c r="K27" s="63">
        <f t="shared" si="9"/>
        <v>6.0983396127147298</v>
      </c>
      <c r="L27" s="63">
        <f t="shared" si="10"/>
        <v>6.8484751962193284</v>
      </c>
      <c r="M27" s="63">
        <f t="shared" si="11"/>
        <v>7.6867623557912417</v>
      </c>
      <c r="N27" s="63">
        <f t="shared" si="12"/>
        <v>8.6230806604031951</v>
      </c>
      <c r="O27" s="63">
        <f t="shared" si="13"/>
        <v>9.6683637060797665</v>
      </c>
      <c r="P27" s="63">
        <f t="shared" si="14"/>
        <v>10.834705943388391</v>
      </c>
    </row>
    <row r="28" spans="1:16" s="71" customFormat="1" ht="1.5" hidden="1" customHeight="1">
      <c r="A28" s="70">
        <v>26</v>
      </c>
      <c r="B28" s="62">
        <f t="shared" si="0"/>
        <v>2.1565912675438432</v>
      </c>
      <c r="C28" s="62">
        <f t="shared" si="1"/>
        <v>2.4459585587163861</v>
      </c>
      <c r="D28" s="62">
        <f t="shared" si="2"/>
        <v>2.7724697847469195</v>
      </c>
      <c r="E28" s="62">
        <f t="shared" si="3"/>
        <v>3.1406790070812631</v>
      </c>
      <c r="F28" s="62">
        <f t="shared" si="4"/>
        <v>3.5556726879443583</v>
      </c>
      <c r="G28" s="62">
        <f t="shared" si="5"/>
        <v>4.0231289277950726</v>
      </c>
      <c r="H28" s="62">
        <f t="shared" si="6"/>
        <v>4.5493829629280977</v>
      </c>
      <c r="I28" s="62">
        <f t="shared" si="7"/>
        <v>5.1414995501649914</v>
      </c>
      <c r="J28" s="62">
        <f t="shared" si="8"/>
        <v>5.8073529249315037</v>
      </c>
      <c r="K28" s="62">
        <f t="shared" si="9"/>
        <v>6.5557150836683347</v>
      </c>
      <c r="L28" s="62">
        <f t="shared" si="10"/>
        <v>7.3963532119168756</v>
      </c>
      <c r="M28" s="62">
        <f t="shared" si="11"/>
        <v>8.3401371560334976</v>
      </c>
      <c r="N28" s="62">
        <f t="shared" si="12"/>
        <v>9.3991579198394835</v>
      </c>
      <c r="O28" s="62">
        <f t="shared" si="13"/>
        <v>10.586858258157344</v>
      </c>
      <c r="P28" s="62">
        <f t="shared" si="14"/>
        <v>11.918176537727231</v>
      </c>
    </row>
    <row r="29" spans="1:16" s="71" customFormat="1" hidden="1">
      <c r="A29" s="70">
        <v>27</v>
      </c>
      <c r="B29" s="62">
        <f t="shared" si="0"/>
        <v>2.2212890055701586</v>
      </c>
      <c r="C29" s="62">
        <f t="shared" si="1"/>
        <v>2.5315671082714593</v>
      </c>
      <c r="D29" s="62">
        <f t="shared" si="2"/>
        <v>2.8833685761367964</v>
      </c>
      <c r="E29" s="62">
        <f t="shared" si="3"/>
        <v>3.2820095623999199</v>
      </c>
      <c r="F29" s="62">
        <f t="shared" si="4"/>
        <v>3.7334563223415764</v>
      </c>
      <c r="G29" s="62">
        <f t="shared" si="5"/>
        <v>4.2444010188238011</v>
      </c>
      <c r="H29" s="62">
        <f t="shared" si="6"/>
        <v>4.8223459407037836</v>
      </c>
      <c r="I29" s="62">
        <f t="shared" si="7"/>
        <v>5.4756970209257156</v>
      </c>
      <c r="J29" s="62">
        <f t="shared" si="8"/>
        <v>6.2138676296767095</v>
      </c>
      <c r="K29" s="62">
        <f t="shared" si="9"/>
        <v>7.0473937149434596</v>
      </c>
      <c r="L29" s="62">
        <f t="shared" si="10"/>
        <v>7.9880614688702263</v>
      </c>
      <c r="M29" s="62">
        <f t="shared" si="11"/>
        <v>9.049048814296345</v>
      </c>
      <c r="N29" s="62">
        <f t="shared" si="12"/>
        <v>10.245082132625038</v>
      </c>
      <c r="O29" s="62">
        <f t="shared" si="13"/>
        <v>11.592609792682291</v>
      </c>
      <c r="P29" s="62">
        <f t="shared" si="14"/>
        <v>13.109994191499954</v>
      </c>
    </row>
    <row r="30" spans="1:16" s="71" customFormat="1" hidden="1">
      <c r="A30" s="70">
        <v>28</v>
      </c>
      <c r="B30" s="62">
        <f t="shared" si="0"/>
        <v>2.2879276757372633</v>
      </c>
      <c r="C30" s="62">
        <f t="shared" si="1"/>
        <v>2.6201719570609603</v>
      </c>
      <c r="D30" s="62">
        <f t="shared" si="2"/>
        <v>2.9987033191822685</v>
      </c>
      <c r="E30" s="62">
        <f t="shared" si="3"/>
        <v>3.4296999927079161</v>
      </c>
      <c r="F30" s="62">
        <f t="shared" si="4"/>
        <v>3.9201291384586554</v>
      </c>
      <c r="G30" s="62">
        <f t="shared" si="5"/>
        <v>4.47784307485911</v>
      </c>
      <c r="H30" s="62">
        <f t="shared" si="6"/>
        <v>5.1116866971460109</v>
      </c>
      <c r="I30" s="62">
        <f t="shared" si="7"/>
        <v>5.8316173272858869</v>
      </c>
      <c r="J30" s="62">
        <f t="shared" si="8"/>
        <v>6.6488383637540798</v>
      </c>
      <c r="K30" s="62">
        <f t="shared" si="9"/>
        <v>7.5759482435642189</v>
      </c>
      <c r="L30" s="62">
        <f t="shared" si="10"/>
        <v>8.6271063863798449</v>
      </c>
      <c r="M30" s="62">
        <f t="shared" si="11"/>
        <v>9.8182179635115343</v>
      </c>
      <c r="N30" s="62">
        <f t="shared" si="12"/>
        <v>11.167139524561293</v>
      </c>
      <c r="O30" s="62">
        <f t="shared" si="13"/>
        <v>12.693907722987108</v>
      </c>
      <c r="P30" s="62">
        <f t="shared" si="14"/>
        <v>14.420993610649951</v>
      </c>
    </row>
    <row r="31" spans="1:16" s="71" customFormat="1" hidden="1">
      <c r="A31" s="70">
        <v>29</v>
      </c>
      <c r="B31" s="62">
        <f t="shared" si="0"/>
        <v>2.3565655060093813</v>
      </c>
      <c r="C31" s="62">
        <f t="shared" si="1"/>
        <v>2.7118779755580937</v>
      </c>
      <c r="D31" s="62">
        <f t="shared" si="2"/>
        <v>3.1186514519495594</v>
      </c>
      <c r="E31" s="62">
        <f t="shared" si="3"/>
        <v>3.5840364923797723</v>
      </c>
      <c r="F31" s="62">
        <f t="shared" si="4"/>
        <v>4.1161355953815884</v>
      </c>
      <c r="G31" s="62">
        <f t="shared" si="5"/>
        <v>4.7241244439763612</v>
      </c>
      <c r="H31" s="62">
        <f t="shared" si="6"/>
        <v>5.418387898974772</v>
      </c>
      <c r="I31" s="62">
        <f t="shared" si="7"/>
        <v>6.2106724535594688</v>
      </c>
      <c r="J31" s="62">
        <f t="shared" si="8"/>
        <v>7.1142570492168655</v>
      </c>
      <c r="K31" s="62">
        <f t="shared" si="9"/>
        <v>8.1441443618315343</v>
      </c>
      <c r="L31" s="62">
        <f t="shared" si="10"/>
        <v>9.3172748972902326</v>
      </c>
      <c r="M31" s="62">
        <f t="shared" si="11"/>
        <v>10.652766490410015</v>
      </c>
      <c r="N31" s="62">
        <f t="shared" si="12"/>
        <v>12.17218208177181</v>
      </c>
      <c r="O31" s="62">
        <f t="shared" si="13"/>
        <v>13.899828956670882</v>
      </c>
      <c r="P31" s="62">
        <f t="shared" si="14"/>
        <v>15.863092971714948</v>
      </c>
    </row>
    <row r="32" spans="1:16" s="71" customFormat="1" ht="19.5" customHeight="1">
      <c r="A32" s="70">
        <v>30</v>
      </c>
      <c r="B32" s="62">
        <f t="shared" si="0"/>
        <v>2.4272624711896627</v>
      </c>
      <c r="C32" s="62">
        <f t="shared" si="1"/>
        <v>2.8067937047026268</v>
      </c>
      <c r="D32" s="62">
        <f t="shared" si="2"/>
        <v>3.2433975100275418</v>
      </c>
      <c r="E32" s="62">
        <f t="shared" si="3"/>
        <v>3.7453181345368618</v>
      </c>
      <c r="F32" s="62">
        <f t="shared" si="4"/>
        <v>4.3219423751506678</v>
      </c>
      <c r="G32" s="62">
        <f t="shared" si="5"/>
        <v>4.983951288395061</v>
      </c>
      <c r="H32" s="62">
        <f t="shared" si="6"/>
        <v>5.7434911729132585</v>
      </c>
      <c r="I32" s="62">
        <f t="shared" si="7"/>
        <v>6.6143661630408337</v>
      </c>
      <c r="J32" s="62">
        <f t="shared" si="8"/>
        <v>7.6122550426620466</v>
      </c>
      <c r="K32" s="62">
        <f t="shared" si="9"/>
        <v>8.7549551889688999</v>
      </c>
      <c r="L32" s="62">
        <f t="shared" si="10"/>
        <v>10.062656889073452</v>
      </c>
      <c r="M32" s="62">
        <f t="shared" si="11"/>
        <v>11.558251642094865</v>
      </c>
      <c r="N32" s="62">
        <f t="shared" si="12"/>
        <v>13.267678469131274</v>
      </c>
      <c r="O32" s="62">
        <f t="shared" si="13"/>
        <v>15.220312707554616</v>
      </c>
      <c r="P32" s="62">
        <f t="shared" si="14"/>
        <v>17.449402268886445</v>
      </c>
    </row>
    <row r="33" spans="1:16" hidden="1">
      <c r="A33" s="70">
        <v>31</v>
      </c>
      <c r="B33" s="62">
        <f t="shared" si="0"/>
        <v>2.5000803453253524</v>
      </c>
      <c r="C33" s="62">
        <f t="shared" si="1"/>
        <v>2.9050314843672185</v>
      </c>
      <c r="D33" s="62">
        <f t="shared" si="2"/>
        <v>3.3731334104286437</v>
      </c>
      <c r="E33" s="62">
        <f t="shared" si="3"/>
        <v>3.9138574505910202</v>
      </c>
      <c r="F33" s="62">
        <f t="shared" si="4"/>
        <v>4.5380394939082018</v>
      </c>
      <c r="G33" s="62">
        <f t="shared" si="5"/>
        <v>5.2580686092567888</v>
      </c>
      <c r="H33" s="62">
        <f t="shared" si="6"/>
        <v>6.0881006432880547</v>
      </c>
      <c r="I33" s="62">
        <f t="shared" si="7"/>
        <v>7.0442999636384878</v>
      </c>
      <c r="J33" s="62">
        <f t="shared" si="8"/>
        <v>8.1451128956483902</v>
      </c>
      <c r="K33" s="62">
        <f t="shared" si="9"/>
        <v>9.4115768281415662</v>
      </c>
      <c r="L33" s="62">
        <f t="shared" si="10"/>
        <v>10.867669440199329</v>
      </c>
      <c r="M33" s="62">
        <f t="shared" si="11"/>
        <v>12.540703031672928</v>
      </c>
      <c r="N33" s="62">
        <f t="shared" si="12"/>
        <v>14.46176953135309</v>
      </c>
      <c r="O33" s="62">
        <f t="shared" si="13"/>
        <v>16.666242414772302</v>
      </c>
      <c r="P33" s="62">
        <f t="shared" si="14"/>
        <v>19.194342495775089</v>
      </c>
    </row>
    <row r="34" spans="1:16" hidden="1">
      <c r="A34" s="70">
        <v>32</v>
      </c>
      <c r="B34" s="62">
        <f t="shared" si="0"/>
        <v>2.5750827556851132</v>
      </c>
      <c r="C34" s="62">
        <f t="shared" si="1"/>
        <v>3.0067075863200707</v>
      </c>
      <c r="D34" s="62">
        <f t="shared" si="2"/>
        <v>3.5080587468457893</v>
      </c>
      <c r="E34" s="62">
        <f t="shared" si="3"/>
        <v>4.0899810358676154</v>
      </c>
      <c r="F34" s="62">
        <f t="shared" si="4"/>
        <v>4.7649414686036122</v>
      </c>
      <c r="G34" s="62">
        <f t="shared" si="5"/>
        <v>5.5472623827659122</v>
      </c>
      <c r="H34" s="62">
        <f t="shared" si="6"/>
        <v>6.4533866818853385</v>
      </c>
      <c r="I34" s="62">
        <f t="shared" si="7"/>
        <v>7.5021794612749888</v>
      </c>
      <c r="J34" s="62">
        <f t="shared" si="8"/>
        <v>8.7152707983437789</v>
      </c>
      <c r="K34" s="62">
        <f t="shared" si="9"/>
        <v>10.117445090252183</v>
      </c>
      <c r="L34" s="62">
        <f t="shared" si="10"/>
        <v>11.737082995415276</v>
      </c>
      <c r="M34" s="62">
        <f t="shared" si="11"/>
        <v>13.606662789365126</v>
      </c>
      <c r="N34" s="62">
        <f t="shared" si="12"/>
        <v>15.763328789174869</v>
      </c>
      <c r="O34" s="62">
        <f t="shared" si="13"/>
        <v>18.24953544417567</v>
      </c>
      <c r="P34" s="62">
        <f t="shared" si="14"/>
        <v>21.113776745352599</v>
      </c>
    </row>
    <row r="35" spans="1:16" hidden="1">
      <c r="A35" s="70">
        <v>33</v>
      </c>
      <c r="B35" s="62">
        <f t="shared" si="0"/>
        <v>2.6523352383556666</v>
      </c>
      <c r="C35" s="62">
        <f t="shared" si="1"/>
        <v>3.111942351841273</v>
      </c>
      <c r="D35" s="62">
        <f t="shared" si="2"/>
        <v>3.6483810967196209</v>
      </c>
      <c r="E35" s="62">
        <f t="shared" si="3"/>
        <v>4.274030182481658</v>
      </c>
      <c r="F35" s="62">
        <f t="shared" si="4"/>
        <v>5.0031885420337927</v>
      </c>
      <c r="G35" s="62">
        <f t="shared" si="5"/>
        <v>5.8523618138180371</v>
      </c>
      <c r="H35" s="62">
        <f t="shared" si="6"/>
        <v>6.8405898827984588</v>
      </c>
      <c r="I35" s="62">
        <f t="shared" si="7"/>
        <v>7.9898211262578629</v>
      </c>
      <c r="J35" s="62">
        <f t="shared" si="8"/>
        <v>9.3253397542278442</v>
      </c>
      <c r="K35" s="62">
        <f t="shared" si="9"/>
        <v>10.876253472021096</v>
      </c>
      <c r="L35" s="62">
        <f t="shared" si="10"/>
        <v>12.6760496350485</v>
      </c>
      <c r="M35" s="62">
        <f t="shared" si="11"/>
        <v>14.763229126461161</v>
      </c>
      <c r="N35" s="62">
        <f t="shared" si="12"/>
        <v>17.18202838020061</v>
      </c>
      <c r="O35" s="62">
        <f t="shared" si="13"/>
        <v>19.983241311372357</v>
      </c>
      <c r="P35" s="62">
        <f t="shared" si="14"/>
        <v>23.225154419887861</v>
      </c>
    </row>
    <row r="36" spans="1:16" hidden="1">
      <c r="A36" s="70">
        <v>34</v>
      </c>
      <c r="B36" s="62">
        <f t="shared" si="0"/>
        <v>2.7319052955063365</v>
      </c>
      <c r="C36" s="62">
        <f t="shared" si="1"/>
        <v>3.2208603341557174</v>
      </c>
      <c r="D36" s="62">
        <f t="shared" si="2"/>
        <v>3.7943163405884057</v>
      </c>
      <c r="E36" s="62">
        <f t="shared" si="3"/>
        <v>4.4663615406933319</v>
      </c>
      <c r="F36" s="62">
        <f t="shared" si="4"/>
        <v>5.2533479691354827</v>
      </c>
      <c r="G36" s="62">
        <f t="shared" si="5"/>
        <v>6.174241713578029</v>
      </c>
      <c r="H36" s="62">
        <f t="shared" si="6"/>
        <v>7.2510252757663665</v>
      </c>
      <c r="I36" s="62">
        <f t="shared" si="7"/>
        <v>8.5091594994646229</v>
      </c>
      <c r="J36" s="62">
        <f t="shared" si="8"/>
        <v>9.9781135370237948</v>
      </c>
      <c r="K36" s="62">
        <f t="shared" si="9"/>
        <v>11.691972482422678</v>
      </c>
      <c r="L36" s="62">
        <f t="shared" si="10"/>
        <v>13.690133605852381</v>
      </c>
      <c r="M36" s="62">
        <f t="shared" si="11"/>
        <v>16.01810360221036</v>
      </c>
      <c r="N36" s="62">
        <f t="shared" si="12"/>
        <v>18.728410934418665</v>
      </c>
      <c r="O36" s="62">
        <f t="shared" si="13"/>
        <v>21.881649235952729</v>
      </c>
      <c r="P36" s="62">
        <f t="shared" si="14"/>
        <v>25.547669861876649</v>
      </c>
    </row>
    <row r="37" spans="1:16">
      <c r="A37" s="70">
        <v>35</v>
      </c>
      <c r="B37" s="62">
        <f t="shared" si="0"/>
        <v>2.8138624543715265</v>
      </c>
      <c r="C37" s="62">
        <f t="shared" si="1"/>
        <v>3.3335904458511671</v>
      </c>
      <c r="D37" s="62">
        <f t="shared" si="2"/>
        <v>3.9460889942119421</v>
      </c>
      <c r="E37" s="62">
        <f t="shared" si="3"/>
        <v>4.6673478100245314</v>
      </c>
      <c r="F37" s="62">
        <f t="shared" si="4"/>
        <v>5.5160153675922574</v>
      </c>
      <c r="G37" s="62">
        <f t="shared" si="5"/>
        <v>6.5138250078248205</v>
      </c>
      <c r="H37" s="62">
        <f t="shared" si="6"/>
        <v>7.6860867923123486</v>
      </c>
      <c r="I37" s="62">
        <f t="shared" si="7"/>
        <v>9.0622548669298233</v>
      </c>
      <c r="J37" s="62">
        <f t="shared" si="8"/>
        <v>10.676581484615461</v>
      </c>
      <c r="K37" s="62">
        <f t="shared" si="9"/>
        <v>12.568870418604378</v>
      </c>
      <c r="L37" s="62">
        <f t="shared" si="10"/>
        <v>14.785344294320572</v>
      </c>
      <c r="M37" s="62">
        <f t="shared" si="11"/>
        <v>17.37964240839824</v>
      </c>
      <c r="N37" s="62">
        <f t="shared" si="12"/>
        <v>20.413967918516345</v>
      </c>
      <c r="O37" s="62">
        <f t="shared" si="13"/>
        <v>23.960405913368238</v>
      </c>
      <c r="P37" s="62">
        <f t="shared" si="14"/>
        <v>28.102436848064315</v>
      </c>
    </row>
    <row r="38" spans="1:16" ht="0.75" customHeight="1">
      <c r="A38" s="70">
        <v>36</v>
      </c>
      <c r="B38" s="62">
        <f t="shared" si="0"/>
        <v>2.8982783280026725</v>
      </c>
      <c r="C38" s="62">
        <f t="shared" si="1"/>
        <v>3.4502661114559579</v>
      </c>
      <c r="D38" s="62">
        <f t="shared" si="2"/>
        <v>4.1039325539804201</v>
      </c>
      <c r="E38" s="62">
        <f t="shared" si="3"/>
        <v>4.8773784614756348</v>
      </c>
      <c r="F38" s="62">
        <f t="shared" si="4"/>
        <v>5.7918161359718709</v>
      </c>
      <c r="G38" s="62">
        <f t="shared" si="5"/>
        <v>6.8720853832551851</v>
      </c>
      <c r="H38" s="62">
        <f t="shared" si="6"/>
        <v>8.1472519998510897</v>
      </c>
      <c r="I38" s="62">
        <f t="shared" si="7"/>
        <v>9.6513014332802616</v>
      </c>
      <c r="J38" s="62">
        <f t="shared" si="8"/>
        <v>11.423942188538543</v>
      </c>
      <c r="K38" s="62">
        <f t="shared" si="9"/>
        <v>13.511535699999706</v>
      </c>
      <c r="L38" s="62">
        <f t="shared" si="10"/>
        <v>15.968171837866219</v>
      </c>
      <c r="M38" s="62">
        <f t="shared" si="11"/>
        <v>18.85691201311209</v>
      </c>
      <c r="N38" s="62">
        <f t="shared" si="12"/>
        <v>22.251225031182816</v>
      </c>
      <c r="O38" s="62">
        <f t="shared" si="13"/>
        <v>26.23664447513822</v>
      </c>
      <c r="P38" s="62">
        <f t="shared" si="14"/>
        <v>30.912680532870748</v>
      </c>
    </row>
    <row r="39" spans="1:16" hidden="1">
      <c r="A39" s="70">
        <v>37</v>
      </c>
      <c r="B39" s="62">
        <f t="shared" si="0"/>
        <v>2.9852266778427525</v>
      </c>
      <c r="C39" s="62">
        <f t="shared" si="1"/>
        <v>3.571025425356916</v>
      </c>
      <c r="D39" s="62">
        <f t="shared" si="2"/>
        <v>4.2680898561396372</v>
      </c>
      <c r="E39" s="62">
        <f t="shared" si="3"/>
        <v>5.0968604922420377</v>
      </c>
      <c r="F39" s="62">
        <f t="shared" si="4"/>
        <v>6.0814069427704647</v>
      </c>
      <c r="G39" s="62">
        <f t="shared" si="5"/>
        <v>7.25005007933422</v>
      </c>
      <c r="H39" s="62">
        <f t="shared" si="6"/>
        <v>8.6360871198421556</v>
      </c>
      <c r="I39" s="62">
        <f t="shared" si="7"/>
        <v>10.278636026443477</v>
      </c>
      <c r="J39" s="62">
        <f t="shared" si="8"/>
        <v>12.223618141736242</v>
      </c>
      <c r="K39" s="62">
        <f t="shared" si="9"/>
        <v>14.524900877499684</v>
      </c>
      <c r="L39" s="62">
        <f t="shared" si="10"/>
        <v>17.245625584895517</v>
      </c>
      <c r="M39" s="62">
        <f t="shared" si="11"/>
        <v>20.459749534226617</v>
      </c>
      <c r="N39" s="62">
        <f t="shared" si="12"/>
        <v>24.253835283989272</v>
      </c>
      <c r="O39" s="62">
        <f t="shared" si="13"/>
        <v>28.729125700276352</v>
      </c>
      <c r="P39" s="62">
        <f t="shared" si="14"/>
        <v>34.003948586157826</v>
      </c>
    </row>
    <row r="40" spans="1:16" hidden="1">
      <c r="A40" s="70">
        <v>38</v>
      </c>
      <c r="B40" s="62">
        <f t="shared" si="0"/>
        <v>3.074783478178035</v>
      </c>
      <c r="C40" s="62">
        <f t="shared" si="1"/>
        <v>3.6960113152444078</v>
      </c>
      <c r="D40" s="62">
        <f t="shared" si="2"/>
        <v>4.438813450385223</v>
      </c>
      <c r="E40" s="62">
        <f t="shared" si="3"/>
        <v>5.3262192143929292</v>
      </c>
      <c r="F40" s="62">
        <f t="shared" si="4"/>
        <v>6.3854772899089882</v>
      </c>
      <c r="G40" s="62">
        <f t="shared" si="5"/>
        <v>7.6488028336976015</v>
      </c>
      <c r="H40" s="62">
        <f t="shared" si="6"/>
        <v>9.1542523470326849</v>
      </c>
      <c r="I40" s="62">
        <f t="shared" si="7"/>
        <v>10.946747368162303</v>
      </c>
      <c r="J40" s="62">
        <f t="shared" si="8"/>
        <v>13.07927141165778</v>
      </c>
      <c r="K40" s="62">
        <f t="shared" si="9"/>
        <v>15.614268443312159</v>
      </c>
      <c r="L40" s="62">
        <f t="shared" si="10"/>
        <v>18.62527563168716</v>
      </c>
      <c r="M40" s="62">
        <f t="shared" si="11"/>
        <v>22.19882824463588</v>
      </c>
      <c r="N40" s="62">
        <f t="shared" si="12"/>
        <v>26.43668045954831</v>
      </c>
      <c r="O40" s="62">
        <f t="shared" si="13"/>
        <v>31.458392641802604</v>
      </c>
      <c r="P40" s="62">
        <f t="shared" si="14"/>
        <v>37.404343444773609</v>
      </c>
    </row>
    <row r="41" spans="1:16" hidden="1">
      <c r="A41" s="70">
        <v>39</v>
      </c>
      <c r="B41" s="62">
        <f t="shared" si="0"/>
        <v>3.1670269825233763</v>
      </c>
      <c r="C41" s="62">
        <f t="shared" si="1"/>
        <v>3.8253717112779619</v>
      </c>
      <c r="D41" s="62">
        <f t="shared" si="2"/>
        <v>4.6163659884006325</v>
      </c>
      <c r="E41" s="62">
        <f t="shared" si="3"/>
        <v>5.5658990790406104</v>
      </c>
      <c r="F41" s="62">
        <f t="shared" si="4"/>
        <v>6.7047511544044376</v>
      </c>
      <c r="G41" s="62">
        <f t="shared" si="5"/>
        <v>8.0694869895509687</v>
      </c>
      <c r="H41" s="62">
        <f t="shared" si="6"/>
        <v>9.7035074878546457</v>
      </c>
      <c r="I41" s="62">
        <f t="shared" si="7"/>
        <v>11.658285947092851</v>
      </c>
      <c r="J41" s="62">
        <f t="shared" si="8"/>
        <v>13.994820410473826</v>
      </c>
      <c r="K41" s="62">
        <f t="shared" si="9"/>
        <v>16.785338576560569</v>
      </c>
      <c r="L41" s="62">
        <f t="shared" si="10"/>
        <v>20.115297682222135</v>
      </c>
      <c r="M41" s="62">
        <f t="shared" si="11"/>
        <v>24.085728645429928</v>
      </c>
      <c r="N41" s="62">
        <f t="shared" si="12"/>
        <v>28.81598170090766</v>
      </c>
      <c r="O41" s="62">
        <f t="shared" si="13"/>
        <v>34.446939942773852</v>
      </c>
      <c r="P41" s="62">
        <f t="shared" si="14"/>
        <v>41.144777789250973</v>
      </c>
    </row>
    <row r="42" spans="1:16" ht="18.75" customHeight="1">
      <c r="A42" s="70">
        <v>40</v>
      </c>
      <c r="B42" s="62">
        <f t="shared" si="0"/>
        <v>3.2620377919990777</v>
      </c>
      <c r="C42" s="62">
        <f t="shared" si="1"/>
        <v>3.9592597211726903</v>
      </c>
      <c r="D42" s="62">
        <f t="shared" si="2"/>
        <v>4.8010206279366576</v>
      </c>
      <c r="E42" s="62">
        <f t="shared" si="3"/>
        <v>5.8163645375974378</v>
      </c>
      <c r="F42" s="62">
        <f t="shared" si="4"/>
        <v>7.0399887121246598</v>
      </c>
      <c r="G42" s="62">
        <f t="shared" si="5"/>
        <v>8.5133087739762718</v>
      </c>
      <c r="H42" s="62">
        <f t="shared" si="6"/>
        <v>10.285717937125925</v>
      </c>
      <c r="I42" s="62">
        <f t="shared" si="7"/>
        <v>12.416074533653886</v>
      </c>
      <c r="J42" s="62">
        <f t="shared" si="8"/>
        <v>14.974457839206995</v>
      </c>
      <c r="K42" s="62">
        <f t="shared" si="9"/>
        <v>18.04423896980261</v>
      </c>
      <c r="L42" s="62">
        <f t="shared" si="10"/>
        <v>21.724521496799905</v>
      </c>
      <c r="M42" s="62">
        <f t="shared" si="11"/>
        <v>26.13301558029147</v>
      </c>
      <c r="N42" s="62">
        <f t="shared" si="12"/>
        <v>31.409420053989351</v>
      </c>
      <c r="O42" s="62">
        <f t="shared" si="13"/>
        <v>37.71939923733737</v>
      </c>
      <c r="P42" s="62">
        <f t="shared" si="14"/>
        <v>45.259255568176073</v>
      </c>
    </row>
    <row r="43" spans="1:16" hidden="1">
      <c r="A43" s="70">
        <v>41</v>
      </c>
      <c r="B43" s="62">
        <f t="shared" si="0"/>
        <v>3.3598989257590501</v>
      </c>
      <c r="C43" s="62">
        <f t="shared" si="1"/>
        <v>4.097833811413734</v>
      </c>
      <c r="D43" s="62">
        <f t="shared" si="2"/>
        <v>4.993061453054124</v>
      </c>
      <c r="E43" s="62">
        <f t="shared" si="3"/>
        <v>6.0781009417893221</v>
      </c>
      <c r="F43" s="62">
        <f t="shared" si="4"/>
        <v>7.3919881477308929</v>
      </c>
      <c r="G43" s="62">
        <f t="shared" si="5"/>
        <v>8.9815407565449661</v>
      </c>
      <c r="H43" s="62">
        <f t="shared" si="6"/>
        <v>10.902861013353482</v>
      </c>
      <c r="I43" s="62">
        <f t="shared" si="7"/>
        <v>13.223119378341387</v>
      </c>
      <c r="J43" s="62">
        <f t="shared" si="8"/>
        <v>16.022669887951484</v>
      </c>
      <c r="K43" s="62">
        <f t="shared" si="9"/>
        <v>19.397556892537803</v>
      </c>
      <c r="L43" s="62">
        <f t="shared" si="10"/>
        <v>23.462483216543898</v>
      </c>
      <c r="M43" s="62">
        <f t="shared" si="11"/>
        <v>28.354321904616246</v>
      </c>
      <c r="N43" s="62">
        <f t="shared" si="12"/>
        <v>34.236267858848393</v>
      </c>
      <c r="O43" s="62">
        <f t="shared" si="13"/>
        <v>41.302742164884421</v>
      </c>
      <c r="P43" s="62">
        <f t="shared" si="14"/>
        <v>49.785181124993684</v>
      </c>
    </row>
    <row r="44" spans="1:16" hidden="1">
      <c r="A44" s="70">
        <v>42</v>
      </c>
      <c r="B44" s="62">
        <f t="shared" si="0"/>
        <v>3.4606958935318217</v>
      </c>
      <c r="C44" s="62">
        <f t="shared" si="1"/>
        <v>4.2412579948132141</v>
      </c>
      <c r="D44" s="62">
        <f t="shared" si="2"/>
        <v>5.1927839111762895</v>
      </c>
      <c r="E44" s="62">
        <f t="shared" si="3"/>
        <v>6.3516154841698409</v>
      </c>
      <c r="F44" s="62">
        <f t="shared" si="4"/>
        <v>7.7615875551174378</v>
      </c>
      <c r="G44" s="62">
        <f t="shared" si="5"/>
        <v>9.4755254981549388</v>
      </c>
      <c r="H44" s="62">
        <f t="shared" si="6"/>
        <v>11.557032674154691</v>
      </c>
      <c r="I44" s="62">
        <f t="shared" si="7"/>
        <v>14.082622137933576</v>
      </c>
      <c r="J44" s="62">
        <f t="shared" si="8"/>
        <v>17.144256780108087</v>
      </c>
      <c r="K44" s="62">
        <f t="shared" si="9"/>
        <v>20.852373659478136</v>
      </c>
      <c r="L44" s="62">
        <f t="shared" si="10"/>
        <v>25.339481873867413</v>
      </c>
      <c r="M44" s="62">
        <f t="shared" si="11"/>
        <v>30.764439266508624</v>
      </c>
      <c r="N44" s="62">
        <f t="shared" si="12"/>
        <v>37.317531966144749</v>
      </c>
      <c r="O44" s="62">
        <f t="shared" si="13"/>
        <v>45.226502670548442</v>
      </c>
      <c r="P44" s="62">
        <f t="shared" si="14"/>
        <v>54.763699237493057</v>
      </c>
    </row>
    <row r="45" spans="1:16" hidden="1">
      <c r="A45" s="70">
        <v>43</v>
      </c>
      <c r="B45" s="62">
        <f t="shared" si="0"/>
        <v>3.5645167703377765</v>
      </c>
      <c r="C45" s="62">
        <f t="shared" si="1"/>
        <v>4.389702024631676</v>
      </c>
      <c r="D45" s="62">
        <f t="shared" si="2"/>
        <v>5.4004952676233415</v>
      </c>
      <c r="E45" s="62">
        <f t="shared" si="3"/>
        <v>6.6374381809574832</v>
      </c>
      <c r="F45" s="62">
        <f t="shared" si="4"/>
        <v>8.1496669328733109</v>
      </c>
      <c r="G45" s="62">
        <f t="shared" si="5"/>
        <v>9.9966794005534592</v>
      </c>
      <c r="H45" s="62">
        <f t="shared" si="6"/>
        <v>12.250454634603972</v>
      </c>
      <c r="I45" s="62">
        <f t="shared" si="7"/>
        <v>14.997992576899257</v>
      </c>
      <c r="J45" s="62">
        <f t="shared" si="8"/>
        <v>18.344354754715653</v>
      </c>
      <c r="K45" s="62">
        <f t="shared" si="9"/>
        <v>22.416301683938997</v>
      </c>
      <c r="L45" s="62">
        <f t="shared" si="10"/>
        <v>27.366640423776808</v>
      </c>
      <c r="M45" s="62">
        <f t="shared" si="11"/>
        <v>33.379416604161854</v>
      </c>
      <c r="N45" s="62">
        <f t="shared" si="12"/>
        <v>40.676109843097777</v>
      </c>
      <c r="O45" s="62">
        <f t="shared" si="13"/>
        <v>49.523020424250539</v>
      </c>
      <c r="P45" s="62">
        <f t="shared" si="14"/>
        <v>60.240069161242367</v>
      </c>
    </row>
    <row r="46" spans="1:16" hidden="1">
      <c r="A46" s="70">
        <v>44</v>
      </c>
      <c r="B46" s="62">
        <f t="shared" si="0"/>
        <v>3.67145227344791</v>
      </c>
      <c r="C46" s="62">
        <f t="shared" si="1"/>
        <v>4.5433415954937839</v>
      </c>
      <c r="D46" s="62">
        <f t="shared" si="2"/>
        <v>5.6165150783282751</v>
      </c>
      <c r="E46" s="62">
        <f t="shared" si="3"/>
        <v>6.9361228991005692</v>
      </c>
      <c r="F46" s="62">
        <f t="shared" si="4"/>
        <v>8.5571502795169767</v>
      </c>
      <c r="G46" s="62">
        <f t="shared" si="5"/>
        <v>10.546496767583898</v>
      </c>
      <c r="H46" s="62">
        <f t="shared" si="6"/>
        <v>12.985481912680211</v>
      </c>
      <c r="I46" s="62">
        <f t="shared" si="7"/>
        <v>15.972862094397708</v>
      </c>
      <c r="J46" s="62">
        <f t="shared" si="8"/>
        <v>19.628459587545748</v>
      </c>
      <c r="K46" s="62">
        <f t="shared" si="9"/>
        <v>24.097524310234419</v>
      </c>
      <c r="L46" s="62">
        <f t="shared" si="10"/>
        <v>29.555971657678953</v>
      </c>
      <c r="M46" s="62">
        <f t="shared" si="11"/>
        <v>36.216667015515611</v>
      </c>
      <c r="N46" s="62">
        <f t="shared" si="12"/>
        <v>44.336959728976581</v>
      </c>
      <c r="O46" s="62">
        <f t="shared" si="13"/>
        <v>54.227707364554341</v>
      </c>
      <c r="P46" s="62">
        <f t="shared" si="14"/>
        <v>66.26407607736661</v>
      </c>
    </row>
    <row r="47" spans="1:16">
      <c r="A47" s="70">
        <v>45</v>
      </c>
      <c r="B47" s="62">
        <f t="shared" si="0"/>
        <v>3.7815958416513475</v>
      </c>
      <c r="C47" s="62">
        <f t="shared" si="1"/>
        <v>4.702358551336066</v>
      </c>
      <c r="D47" s="62">
        <f t="shared" si="2"/>
        <v>5.8411756814614062</v>
      </c>
      <c r="E47" s="62">
        <f t="shared" si="3"/>
        <v>7.2482484295600944</v>
      </c>
      <c r="F47" s="62">
        <f t="shared" si="4"/>
        <v>8.9850077934928265</v>
      </c>
      <c r="G47" s="62">
        <f t="shared" si="5"/>
        <v>11.126554089801012</v>
      </c>
      <c r="H47" s="62">
        <f t="shared" si="6"/>
        <v>13.764610827441023</v>
      </c>
      <c r="I47" s="62">
        <f t="shared" si="7"/>
        <v>17.011098130533558</v>
      </c>
      <c r="J47" s="62">
        <f t="shared" si="8"/>
        <v>21.002451758673953</v>
      </c>
      <c r="K47" s="62">
        <f t="shared" si="9"/>
        <v>25.904838633501999</v>
      </c>
      <c r="L47" s="62">
        <f t="shared" si="10"/>
        <v>31.920449390293271</v>
      </c>
      <c r="M47" s="62">
        <f t="shared" si="11"/>
        <v>39.295083711834437</v>
      </c>
      <c r="N47" s="62">
        <f t="shared" si="12"/>
        <v>48.327286104584473</v>
      </c>
      <c r="O47" s="62">
        <f t="shared" si="13"/>
        <v>59.379339564186999</v>
      </c>
      <c r="P47" s="62">
        <f t="shared" si="14"/>
        <v>72.890483685103277</v>
      </c>
    </row>
    <row r="48" spans="1:16" ht="0.75" customHeight="1">
      <c r="A48" s="70">
        <v>46</v>
      </c>
      <c r="B48" s="62">
        <f t="shared" si="0"/>
        <v>3.8950437169008882</v>
      </c>
      <c r="C48" s="62">
        <f t="shared" si="1"/>
        <v>4.866941100632828</v>
      </c>
      <c r="D48" s="62">
        <f t="shared" si="2"/>
        <v>6.0748227087198625</v>
      </c>
      <c r="E48" s="62">
        <f t="shared" si="3"/>
        <v>7.574419608890298</v>
      </c>
      <c r="F48" s="62">
        <f t="shared" si="4"/>
        <v>9.4342581831674686</v>
      </c>
      <c r="G48" s="62">
        <f t="shared" si="5"/>
        <v>11.738514564740067</v>
      </c>
      <c r="H48" s="62">
        <f t="shared" si="6"/>
        <v>14.590487477087486</v>
      </c>
      <c r="I48" s="62">
        <f t="shared" si="7"/>
        <v>18.116819509018239</v>
      </c>
      <c r="J48" s="62">
        <f t="shared" si="8"/>
        <v>22.47262338178113</v>
      </c>
      <c r="K48" s="62">
        <f t="shared" si="9"/>
        <v>27.847701531014646</v>
      </c>
      <c r="L48" s="62">
        <f t="shared" si="10"/>
        <v>34.474085341516734</v>
      </c>
      <c r="M48" s="62">
        <f t="shared" si="11"/>
        <v>42.635165827340366</v>
      </c>
      <c r="N48" s="62">
        <f t="shared" si="12"/>
        <v>52.676741853997079</v>
      </c>
      <c r="O48" s="62">
        <f t="shared" si="13"/>
        <v>65.020376822784769</v>
      </c>
      <c r="P48" s="62">
        <f t="shared" si="14"/>
        <v>80.179532053613613</v>
      </c>
    </row>
    <row r="49" spans="1:16" hidden="1">
      <c r="A49" s="70">
        <v>47</v>
      </c>
      <c r="B49" s="62">
        <f t="shared" si="0"/>
        <v>4.0118950284079151</v>
      </c>
      <c r="C49" s="62">
        <f t="shared" si="1"/>
        <v>5.0372840391549767</v>
      </c>
      <c r="D49" s="62">
        <f t="shared" si="2"/>
        <v>6.317815617068657</v>
      </c>
      <c r="E49" s="62">
        <f t="shared" si="3"/>
        <v>7.9152684912903606</v>
      </c>
      <c r="F49" s="62">
        <f t="shared" si="4"/>
        <v>9.9059710923258422</v>
      </c>
      <c r="G49" s="62">
        <f t="shared" si="5"/>
        <v>12.384132865800769</v>
      </c>
      <c r="H49" s="62">
        <f t="shared" si="6"/>
        <v>15.465916725712736</v>
      </c>
      <c r="I49" s="62">
        <f t="shared" si="7"/>
        <v>19.294412777104423</v>
      </c>
      <c r="J49" s="62">
        <f t="shared" si="8"/>
        <v>24.045707018505809</v>
      </c>
      <c r="K49" s="62">
        <f t="shared" si="9"/>
        <v>29.936279145840743</v>
      </c>
      <c r="L49" s="62">
        <f t="shared" si="10"/>
        <v>37.232012168838075</v>
      </c>
      <c r="M49" s="62">
        <f t="shared" si="11"/>
        <v>46.259154922664294</v>
      </c>
      <c r="N49" s="62">
        <f t="shared" si="12"/>
        <v>57.417648620856824</v>
      </c>
      <c r="O49" s="62">
        <f t="shared" si="13"/>
        <v>71.197312620949319</v>
      </c>
      <c r="P49" s="62">
        <f t="shared" si="14"/>
        <v>88.197485258974979</v>
      </c>
    </row>
    <row r="50" spans="1:16" hidden="1">
      <c r="A50" s="70">
        <v>48</v>
      </c>
      <c r="B50" s="62">
        <f t="shared" si="0"/>
        <v>4.1322518792601528</v>
      </c>
      <c r="C50" s="62">
        <f t="shared" si="1"/>
        <v>5.2135889805254001</v>
      </c>
      <c r="D50" s="62">
        <f t="shared" si="2"/>
        <v>6.5705282417514033</v>
      </c>
      <c r="E50" s="62">
        <f t="shared" si="3"/>
        <v>8.271455573398427</v>
      </c>
      <c r="F50" s="62">
        <f t="shared" si="4"/>
        <v>10.401269646942135</v>
      </c>
      <c r="G50" s="62">
        <f t="shared" si="5"/>
        <v>13.06526017341981</v>
      </c>
      <c r="H50" s="62">
        <f t="shared" si="6"/>
        <v>16.393871729255501</v>
      </c>
      <c r="I50" s="62">
        <f t="shared" si="7"/>
        <v>20.548549607616209</v>
      </c>
      <c r="J50" s="62">
        <f t="shared" si="8"/>
        <v>25.728906509801217</v>
      </c>
      <c r="K50" s="62">
        <f t="shared" si="9"/>
        <v>32.1815000817788</v>
      </c>
      <c r="L50" s="62">
        <f t="shared" si="10"/>
        <v>40.210573142345126</v>
      </c>
      <c r="M50" s="62">
        <f t="shared" si="11"/>
        <v>50.191183091090757</v>
      </c>
      <c r="N50" s="62">
        <f t="shared" si="12"/>
        <v>62.58523699673394</v>
      </c>
      <c r="O50" s="62">
        <f t="shared" si="13"/>
        <v>77.961057319939499</v>
      </c>
      <c r="P50" s="62">
        <f t="shared" si="14"/>
        <v>97.017233784872488</v>
      </c>
    </row>
    <row r="51" spans="1:16" hidden="1">
      <c r="A51" s="70">
        <v>49</v>
      </c>
      <c r="B51" s="62">
        <f t="shared" si="0"/>
        <v>4.2562194356379575</v>
      </c>
      <c r="C51" s="62">
        <f t="shared" si="1"/>
        <v>5.3960645948437884</v>
      </c>
      <c r="D51" s="62">
        <f t="shared" si="2"/>
        <v>6.8333493714214599</v>
      </c>
      <c r="E51" s="62">
        <f t="shared" si="3"/>
        <v>8.6436710742013556</v>
      </c>
      <c r="F51" s="62">
        <f t="shared" si="4"/>
        <v>10.921333129289241</v>
      </c>
      <c r="G51" s="62">
        <f t="shared" si="5"/>
        <v>13.783849482957899</v>
      </c>
      <c r="H51" s="62">
        <f t="shared" si="6"/>
        <v>17.377504033010833</v>
      </c>
      <c r="I51" s="62">
        <f t="shared" si="7"/>
        <v>21.884205332111261</v>
      </c>
      <c r="J51" s="62">
        <f t="shared" si="8"/>
        <v>27.529929965487302</v>
      </c>
      <c r="K51" s="62">
        <f t="shared" si="9"/>
        <v>34.595112587912212</v>
      </c>
      <c r="L51" s="62">
        <f t="shared" si="10"/>
        <v>43.427418993732736</v>
      </c>
      <c r="M51" s="62">
        <f t="shared" si="11"/>
        <v>54.457433653833469</v>
      </c>
      <c r="N51" s="62">
        <f t="shared" si="12"/>
        <v>68.217908326439996</v>
      </c>
      <c r="O51" s="62">
        <f t="shared" si="13"/>
        <v>85.36735776533375</v>
      </c>
      <c r="P51" s="62">
        <f t="shared" si="14"/>
        <v>106.71895716335975</v>
      </c>
    </row>
    <row r="52" spans="1:16" s="73" customFormat="1">
      <c r="A52" s="72">
        <v>50</v>
      </c>
      <c r="B52" s="63">
        <f t="shared" si="0"/>
        <v>4.383906018707096</v>
      </c>
      <c r="C52" s="63">
        <f t="shared" si="1"/>
        <v>5.5849268556633209</v>
      </c>
      <c r="D52" s="63">
        <f t="shared" si="2"/>
        <v>7.1066833462783183</v>
      </c>
      <c r="E52" s="63">
        <f t="shared" si="3"/>
        <v>9.0326362725404152</v>
      </c>
      <c r="F52" s="63">
        <f t="shared" si="4"/>
        <v>11.467399785753704</v>
      </c>
      <c r="G52" s="63">
        <f t="shared" si="5"/>
        <v>14.541961204520582</v>
      </c>
      <c r="H52" s="63">
        <f t="shared" si="6"/>
        <v>18.420154274991486</v>
      </c>
      <c r="I52" s="63">
        <f t="shared" si="7"/>
        <v>23.306678678698493</v>
      </c>
      <c r="J52" s="63">
        <f t="shared" si="8"/>
        <v>29.457025063071416</v>
      </c>
      <c r="K52" s="63">
        <f t="shared" si="9"/>
        <v>37.189746032005623</v>
      </c>
      <c r="L52" s="63">
        <f t="shared" si="10"/>
        <v>46.901612513231356</v>
      </c>
      <c r="M52" s="63">
        <f t="shared" si="11"/>
        <v>59.086315514409314</v>
      </c>
      <c r="N52" s="63">
        <f t="shared" si="12"/>
        <v>74.357520075819608</v>
      </c>
      <c r="O52" s="63">
        <f t="shared" si="13"/>
        <v>93.47725675304045</v>
      </c>
      <c r="P52" s="63">
        <f t="shared" si="14"/>
        <v>117.39085287969573</v>
      </c>
    </row>
    <row r="53" spans="1:16">
      <c r="A53" s="74"/>
    </row>
    <row r="54" spans="1:16">
      <c r="A54" s="74"/>
    </row>
    <row r="55" spans="1:16">
      <c r="A55" s="74"/>
    </row>
    <row r="56" spans="1:16">
      <c r="A56" s="74"/>
    </row>
    <row r="57" spans="1:16">
      <c r="A57" s="74"/>
    </row>
    <row r="58" spans="1:16">
      <c r="A58" s="74"/>
    </row>
    <row r="59" spans="1:16">
      <c r="A59" s="74"/>
    </row>
    <row r="60" spans="1:16">
      <c r="A60" s="74"/>
    </row>
  </sheetData>
  <customSheetViews>
    <customSheetView guid="{1CC00BDA-F26F-4B2F-9920-976F9DA01936}" fitToPage="1" hiddenRows="1" showRuler="0">
      <selection activeCell="B4" sqref="B4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Inhalt</vt:lpstr>
      <vt:lpstr>Personalhauptkosten</vt:lpstr>
      <vt:lpstr>Kostenvergleichsrechnung</vt:lpstr>
      <vt:lpstr>Rentabilitätsberechnung</vt:lpstr>
      <vt:lpstr>Barwertmethode</vt:lpstr>
      <vt:lpstr>refinanzierte Beschäftigung</vt:lpstr>
      <vt:lpstr>AbAufzinsfaktorGenerator</vt:lpstr>
      <vt:lpstr>Abzinstabelle</vt:lpstr>
      <vt:lpstr>Aufzinstabelle</vt:lpstr>
      <vt:lpstr>Kostenvergleichsrechnung!Druckbereich</vt:lpstr>
      <vt:lpstr>Personalhauptkosten!Druckbereich</vt:lpstr>
    </vt:vector>
  </TitlesOfParts>
  <Company>SFF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Gerth</dc:creator>
  <cp:lastModifiedBy>Kratky, Jochen (SF)</cp:lastModifiedBy>
  <cp:lastPrinted>2017-02-22T08:16:25Z</cp:lastPrinted>
  <dcterms:created xsi:type="dcterms:W3CDTF">2001-03-29T13:32:21Z</dcterms:created>
  <dcterms:modified xsi:type="dcterms:W3CDTF">2022-03-28T06:37:52Z</dcterms:modified>
</cp:coreProperties>
</file>